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3_ncr:1_{EADF11CE-6659-4169-9F97-293E5BC9EA1A}" xr6:coauthVersionLast="31" xr6:coauthVersionMax="31" xr10:uidLastSave="{00000000-0000-0000-0000-000000000000}"/>
  <bookViews>
    <workbookView xWindow="0" yWindow="0" windowWidth="28800" windowHeight="12225" xr2:uid="{00000000-000D-0000-FFFF-FFFF00000000}"/>
  </bookViews>
  <sheets>
    <sheet name="EARNINGS ANALYSIS" sheetId="2" r:id="rId1"/>
    <sheet name="Growth Scenarios" sheetId="3" r:id="rId2"/>
  </sheets>
  <definedNames>
    <definedName name="Breakeven_point">'EARNINGS ANALYSIS'!$C$37</definedName>
    <definedName name="Company_name">'EARNINGS ANALYSIS'!$B$2</definedName>
    <definedName name="Fixed_costs">'EARNINGS ANALYSIS'!$C$23:$C$27</definedName>
    <definedName name="Gross_margin">'EARNINGS ANALYSIS'!$C$19</definedName>
    <definedName name="Net_profit">'EARNINGS ANALYSIS'!$C$34</definedName>
    <definedName name="_xlnm.Print_Area" localSheetId="0">'EARNINGS ANALYSIS'!$A$1:$S$58</definedName>
    <definedName name="Sales_price_unit">'EARNINGS ANALYSIS'!$C$6</definedName>
    <definedName name="Sales_volume_units">'EARNINGS ANALYSIS'!$C$7</definedName>
    <definedName name="TemplatePrintArea">'EARNINGS ANALYSIS'!$B$1:$F$6</definedName>
    <definedName name="Total_fixed">'EARNINGS ANALYSIS'!$C$33</definedName>
    <definedName name="Total_Sales">'EARNINGS ANALYSIS'!$C$10</definedName>
    <definedName name="Total_variable">'EARNINGS ANALYSIS'!$C$18</definedName>
    <definedName name="Unit_contrib_margin">'EARNINGS ANALYSIS'!#REF!</definedName>
    <definedName name="Variable_cost_unit">'EARNINGS ANALYSIS'!$C$17</definedName>
    <definedName name="Variable_costs_unit">'EARNINGS ANALYSIS'!$C$13:$C$16</definedName>
    <definedName name="Variable_Unit_Cost">'EARNINGS ANALYSIS'!$C$17</definedName>
  </definedNames>
  <calcPr calcId="179017"/>
</workbook>
</file>

<file path=xl/calcChain.xml><?xml version="1.0" encoding="utf-8"?>
<calcChain xmlns="http://schemas.openxmlformats.org/spreadsheetml/2006/main">
  <c r="B4" i="3" l="1"/>
  <c r="C4" i="3" s="1"/>
  <c r="D4" i="3" s="1"/>
  <c r="E4" i="3" s="1"/>
  <c r="F4" i="3" s="1"/>
  <c r="G4" i="3" s="1"/>
  <c r="H4" i="3" s="1"/>
  <c r="I4" i="3" s="1"/>
  <c r="J4" i="3" s="1"/>
  <c r="K4" i="3" s="1"/>
  <c r="L4" i="3" s="1"/>
  <c r="M4" i="3" s="1"/>
  <c r="N4" i="3" s="1"/>
  <c r="O4" i="3" s="1"/>
  <c r="P4" i="3" s="1"/>
  <c r="B8" i="3"/>
  <c r="C8" i="3" s="1"/>
  <c r="D8" i="3" s="1"/>
  <c r="E8" i="3" s="1"/>
  <c r="F8" i="3" s="1"/>
  <c r="G8" i="3" s="1"/>
  <c r="H8" i="3" s="1"/>
  <c r="I8" i="3" s="1"/>
  <c r="J8" i="3" s="1"/>
  <c r="K8" i="3" s="1"/>
  <c r="L8" i="3" s="1"/>
  <c r="M8" i="3" s="1"/>
  <c r="N8" i="3" s="1"/>
  <c r="O8" i="3" s="1"/>
  <c r="P8" i="3" s="1"/>
  <c r="C41" i="2" l="1"/>
  <c r="C50" i="2" l="1"/>
  <c r="C51" i="2" s="1"/>
  <c r="C52" i="2" s="1"/>
  <c r="D50" i="2"/>
  <c r="D41" i="2"/>
  <c r="D51" i="2" l="1"/>
  <c r="D52" i="2" s="1"/>
  <c r="E41" i="2"/>
  <c r="E50" i="2"/>
  <c r="E51" i="2" l="1"/>
  <c r="E52" i="2" s="1"/>
  <c r="F41" i="2"/>
  <c r="D42" i="2"/>
  <c r="D43" i="2" s="1"/>
  <c r="E42" i="2"/>
  <c r="E43" i="2" s="1"/>
  <c r="F50" i="2"/>
  <c r="C42" i="2"/>
  <c r="C43" i="2" s="1"/>
  <c r="C9" i="2"/>
  <c r="G41" i="2" l="1"/>
  <c r="G42" i="2" s="1"/>
  <c r="G43" i="2" s="1"/>
  <c r="F42" i="2"/>
  <c r="F43" i="2" s="1"/>
  <c r="F51" i="2"/>
  <c r="F52" i="2" s="1"/>
  <c r="G50" i="2"/>
  <c r="H41" i="2"/>
  <c r="H7" i="2"/>
  <c r="H8" i="2"/>
  <c r="H9" i="2"/>
  <c r="H10" i="2"/>
  <c r="I10" i="2"/>
  <c r="H11" i="2"/>
  <c r="H12" i="2"/>
  <c r="H13" i="2"/>
  <c r="H14" i="2"/>
  <c r="H15" i="2"/>
  <c r="H6" i="2"/>
  <c r="G51" i="2" l="1"/>
  <c r="G52" i="2" s="1"/>
  <c r="H42" i="2"/>
  <c r="H43" i="2" s="1"/>
  <c r="H50" i="2"/>
  <c r="I41" i="2"/>
  <c r="C14" i="2"/>
  <c r="C8" i="2"/>
  <c r="C10" i="2" s="1"/>
  <c r="C23" i="2" s="1"/>
  <c r="H51" i="2" l="1"/>
  <c r="H52" i="2" s="1"/>
  <c r="I42" i="2"/>
  <c r="I43" i="2" s="1"/>
  <c r="C25" i="2"/>
  <c r="I50" i="2"/>
  <c r="J41" i="2"/>
  <c r="C31" i="2"/>
  <c r="C24" i="2"/>
  <c r="C26" i="2"/>
  <c r="C32" i="2"/>
  <c r="F14" i="2"/>
  <c r="C16" i="2"/>
  <c r="C15" i="2"/>
  <c r="C17" i="2" l="1"/>
  <c r="C18" i="2" s="1"/>
  <c r="I51" i="2"/>
  <c r="I52" i="2" s="1"/>
  <c r="J42" i="2"/>
  <c r="J43" i="2" s="1"/>
  <c r="J50" i="2"/>
  <c r="K41" i="2"/>
  <c r="F15" i="2"/>
  <c r="F16" i="2"/>
  <c r="I15" i="2"/>
  <c r="I14" i="2"/>
  <c r="C30" i="2"/>
  <c r="I13" i="2" s="1"/>
  <c r="C29" i="2"/>
  <c r="I12" i="2" s="1"/>
  <c r="C28" i="2"/>
  <c r="I11" i="2" s="1"/>
  <c r="I6" i="2"/>
  <c r="I9" i="2"/>
  <c r="I7" i="2"/>
  <c r="I8" i="2"/>
  <c r="J51" i="2" l="1"/>
  <c r="J52" i="2" s="1"/>
  <c r="K42" i="2"/>
  <c r="K43" i="2" s="1"/>
  <c r="K50" i="2"/>
  <c r="L41" i="2"/>
  <c r="C33" i="2"/>
  <c r="K44" i="2" l="1"/>
  <c r="J53" i="2"/>
  <c r="C53" i="2"/>
  <c r="D53" i="2"/>
  <c r="E44" i="2"/>
  <c r="C44" i="2"/>
  <c r="D44" i="2"/>
  <c r="E53" i="2"/>
  <c r="F53" i="2"/>
  <c r="F44" i="2"/>
  <c r="G44" i="2"/>
  <c r="G53" i="2"/>
  <c r="H44" i="2"/>
  <c r="H53" i="2"/>
  <c r="I44" i="2"/>
  <c r="I53" i="2"/>
  <c r="J44" i="2"/>
  <c r="K51" i="2"/>
  <c r="K52" i="2" s="1"/>
  <c r="L42" i="2"/>
  <c r="L43" i="2" s="1"/>
  <c r="C36" i="2"/>
  <c r="L50" i="2"/>
  <c r="M41" i="2"/>
  <c r="K53" i="2" l="1"/>
  <c r="L44" i="2"/>
  <c r="L51" i="2"/>
  <c r="L52" i="2" s="1"/>
  <c r="M42" i="2"/>
  <c r="M43" i="2" s="1"/>
  <c r="M50" i="2"/>
  <c r="N41" i="2"/>
  <c r="M44" i="2" l="1"/>
  <c r="L53" i="2"/>
  <c r="M51" i="2"/>
  <c r="M52" i="2" s="1"/>
  <c r="N42" i="2"/>
  <c r="N43" i="2" s="1"/>
  <c r="N50" i="2"/>
  <c r="O41" i="2"/>
  <c r="N44" i="2" l="1"/>
  <c r="M53" i="2"/>
  <c r="N51" i="2"/>
  <c r="N52" i="2" s="1"/>
  <c r="O42" i="2"/>
  <c r="O43" i="2" s="1"/>
  <c r="O50" i="2"/>
  <c r="P41" i="2"/>
  <c r="O44" i="2" l="1"/>
  <c r="N53" i="2"/>
  <c r="O51" i="2"/>
  <c r="O52" i="2" s="1"/>
  <c r="P42" i="2"/>
  <c r="P43" i="2" s="1"/>
  <c r="P50" i="2"/>
  <c r="Q41" i="2"/>
  <c r="P44" i="2" l="1"/>
  <c r="O53" i="2"/>
  <c r="P51" i="2"/>
  <c r="P52" i="2" s="1"/>
  <c r="Q42" i="2"/>
  <c r="Q43" i="2" s="1"/>
  <c r="Q50" i="2"/>
  <c r="P53" i="2" l="1"/>
  <c r="Q44" i="2"/>
  <c r="Q51" i="2"/>
  <c r="Q52" i="2" s="1"/>
  <c r="C19" i="2"/>
  <c r="Q53" i="2" l="1"/>
  <c r="C34" i="2"/>
  <c r="I16" i="2"/>
  <c r="C20" i="2"/>
  <c r="Q54" i="2" s="1"/>
  <c r="C54" i="2" l="1"/>
  <c r="D54" i="2"/>
  <c r="E45" i="2"/>
  <c r="E46" i="2" s="1"/>
  <c r="E47" i="2" s="1"/>
  <c r="C45" i="2"/>
  <c r="E54" i="2"/>
  <c r="D45" i="2"/>
  <c r="F54" i="2"/>
  <c r="F55" i="2" s="1"/>
  <c r="F56" i="2" s="1"/>
  <c r="G45" i="2"/>
  <c r="G46" i="2" s="1"/>
  <c r="G47" i="2" s="1"/>
  <c r="F45" i="2"/>
  <c r="H45" i="2"/>
  <c r="G54" i="2"/>
  <c r="G55" i="2" s="1"/>
  <c r="G56" i="2" s="1"/>
  <c r="I45" i="2"/>
  <c r="H54" i="2"/>
  <c r="J45" i="2"/>
  <c r="J46" i="2" s="1"/>
  <c r="J47" i="2" s="1"/>
  <c r="I54" i="2"/>
  <c r="I55" i="2" s="1"/>
  <c r="I56" i="2" s="1"/>
  <c r="K45" i="2"/>
  <c r="K46" i="2" s="1"/>
  <c r="K47" i="2" s="1"/>
  <c r="J54" i="2"/>
  <c r="K54" i="2"/>
  <c r="L45" i="2"/>
  <c r="L46" i="2" s="1"/>
  <c r="L47" i="2" s="1"/>
  <c r="L54" i="2"/>
  <c r="L55" i="2" s="1"/>
  <c r="L56" i="2" s="1"/>
  <c r="M45" i="2"/>
  <c r="M46" i="2" s="1"/>
  <c r="M47" i="2" s="1"/>
  <c r="M54" i="2"/>
  <c r="M55" i="2" s="1"/>
  <c r="M56" i="2" s="1"/>
  <c r="N45" i="2"/>
  <c r="N46" i="2" s="1"/>
  <c r="N47" i="2" s="1"/>
  <c r="N54" i="2"/>
  <c r="N55" i="2" s="1"/>
  <c r="N56" i="2" s="1"/>
  <c r="O45" i="2"/>
  <c r="O54" i="2"/>
  <c r="P45" i="2"/>
  <c r="P46" i="2" s="1"/>
  <c r="P47" i="2" s="1"/>
  <c r="Q45" i="2"/>
  <c r="P54" i="2"/>
  <c r="P55" i="2" s="1"/>
  <c r="P56" i="2" s="1"/>
  <c r="D55" i="2"/>
  <c r="D56" i="2" s="1"/>
  <c r="E55" i="2"/>
  <c r="E56" i="2" s="1"/>
  <c r="D46" i="2"/>
  <c r="D47" i="2" s="1"/>
  <c r="F46" i="2"/>
  <c r="F47" i="2" s="1"/>
  <c r="H46" i="2"/>
  <c r="H47" i="2" s="1"/>
  <c r="I46" i="2"/>
  <c r="I47" i="2" s="1"/>
  <c r="H55" i="2"/>
  <c r="H56" i="2" s="1"/>
  <c r="J55" i="2"/>
  <c r="J56" i="2" s="1"/>
  <c r="C37" i="2"/>
  <c r="K55" i="2"/>
  <c r="K56" i="2" s="1"/>
  <c r="O46" i="2"/>
  <c r="O47" i="2" s="1"/>
  <c r="O55" i="2"/>
  <c r="O56" i="2" s="1"/>
  <c r="Q46" i="2"/>
  <c r="Q47" i="2" s="1"/>
  <c r="Q55" i="2"/>
  <c r="Q56" i="2" s="1"/>
  <c r="C46" i="2"/>
  <c r="C47" i="2" s="1"/>
  <c r="C55" i="2"/>
  <c r="C56" i="2" s="1"/>
</calcChain>
</file>

<file path=xl/sharedStrings.xml><?xml version="1.0" encoding="utf-8"?>
<sst xmlns="http://schemas.openxmlformats.org/spreadsheetml/2006/main" count="106" uniqueCount="68">
  <si>
    <t>[Name]</t>
  </si>
  <si>
    <t>SALES</t>
  </si>
  <si>
    <t>RESULTS</t>
  </si>
  <si>
    <t>AMOUNTS SHOWN IN U.S. DOLLARS</t>
  </si>
  <si>
    <t>TOTAL SALES</t>
  </si>
  <si>
    <t>VARIABLE COSTS PER UNIT</t>
  </si>
  <si>
    <t>INSURANCE</t>
  </si>
  <si>
    <t>RENT</t>
  </si>
  <si>
    <t>NET PROFIT (LOSS)</t>
  </si>
  <si>
    <t>SALES VOLUME ANALYSIS:</t>
  </si>
  <si>
    <t>LABOR</t>
  </si>
  <si>
    <t>UTILITIES</t>
  </si>
  <si>
    <t>PANEL SALES PER YEAR (IN DOLLARS)</t>
  </si>
  <si>
    <t>TRIM SALES PER YEAR (IN DOLLARS)</t>
  </si>
  <si>
    <t>ACCESORY SALES PER YEAR (IN DOLLARS)</t>
  </si>
  <si>
    <t>DIRECT COGS</t>
  </si>
  <si>
    <t>DIRECT PANEL COSTS PER YEAR (IN DOLLARS)</t>
  </si>
  <si>
    <t>DIRECT TRIM COSTS PER YEAR (IN DOLLARS)</t>
  </si>
  <si>
    <t>DIRECT ACCESSORIES COST PER YEAR (IN DOLLARS)</t>
  </si>
  <si>
    <t>OFFICE SUPPLIES</t>
  </si>
  <si>
    <t>PACKAGING</t>
  </si>
  <si>
    <t>ADVERTISING</t>
  </si>
  <si>
    <t>REPAIRS &amp; MAINTENANCE</t>
  </si>
  <si>
    <t>FIXED, OPERATING EXPENSES</t>
  </si>
  <si>
    <t>VARIABLE, DIRECT COGS</t>
  </si>
  <si>
    <t>GROSS PROFIT</t>
  </si>
  <si>
    <t>GROSS PROFIT MARGIN</t>
  </si>
  <si>
    <t>BREAKEVEN POINT (SALES):</t>
  </si>
  <si>
    <t>PANEL SALES VOLUME PER YEAR (DOLLARS)</t>
  </si>
  <si>
    <t>PANEL SALES</t>
  </si>
  <si>
    <t>TRIM SALES</t>
  </si>
  <si>
    <t>ACCESSORY SALES</t>
  </si>
  <si>
    <t>MATERIAL</t>
  </si>
  <si>
    <t>Year 1</t>
  </si>
  <si>
    <t>Year 2</t>
  </si>
  <si>
    <t>Year 3</t>
  </si>
  <si>
    <t>Year 4</t>
  </si>
  <si>
    <t>Year 5</t>
  </si>
  <si>
    <t>Year 6</t>
  </si>
  <si>
    <t>Year 7</t>
  </si>
  <si>
    <t>Year 8</t>
  </si>
  <si>
    <t>Year 9</t>
  </si>
  <si>
    <t>Year 10</t>
  </si>
  <si>
    <t>Year 11</t>
  </si>
  <si>
    <t>Year 12</t>
  </si>
  <si>
    <t>Year 13</t>
  </si>
  <si>
    <t>Year 14</t>
  </si>
  <si>
    <t>Year 15</t>
  </si>
  <si>
    <t>PANEL SALES PRICE (PER LINEAL FOOT)</t>
  </si>
  <si>
    <t>DIRECT PANEL MATERIAL COST (PER LINEAL FOOT)</t>
  </si>
  <si>
    <t>TOTAL VARIABLE MATERIAL COSTS</t>
  </si>
  <si>
    <t>Conservative</t>
  </si>
  <si>
    <t>Aggressive</t>
  </si>
  <si>
    <t>LOAN / LEASE (PRINC &amp; INT)</t>
  </si>
  <si>
    <t>TRIM &amp; ACCESSORY SALES</t>
  </si>
  <si>
    <t>Growth rate</t>
  </si>
  <si>
    <t xml:space="preserve">CONSERVATIVE NET PROFIT (LOSS) </t>
  </si>
  <si>
    <t>AGGRESSIVE NET PROFIT (LOSS)</t>
  </si>
  <si>
    <t>AGGRESSIVE TOTAL SALES</t>
  </si>
  <si>
    <t>CONSERVATIVE TOTAL SALES</t>
  </si>
  <si>
    <t>CONSERVATIVE TOTAL EXPENSES</t>
  </si>
  <si>
    <t>AGGRESSIVE TOTAL EXPENSES</t>
  </si>
  <si>
    <t>STANDARD OPERATING EXPENSES PER YEAR</t>
  </si>
  <si>
    <t>TOTAL STANDARD OPERATING EXPENSES PER YEAR</t>
  </si>
  <si>
    <t>EARNINGS ANALYSIS</t>
  </si>
  <si>
    <t xml:space="preserve">The percentage sets sales target for year 1 and uses the overall target entered in cell C7 of the Earnings Analysis worksheet.  </t>
  </si>
  <si>
    <t>Approach</t>
  </si>
  <si>
    <t>Information contained within is based off of collected industry averages.  MRS makes no guarantees to the accuracy of the data.  Information contained within does not constitute business or financial advise and is used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</si>
</sst>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15" x14ac:knownFonts="1">
    <font>
      <sz val="10"/>
      <color theme="1" tint="0.14990691854609822"/>
      <name val="Sylfaen"/>
      <family val="1"/>
      <scheme val="minor"/>
    </font>
    <font>
      <sz val="8"/>
      <color theme="1" tint="0.14993743705557422"/>
      <name val="Calibri"/>
      <family val="2"/>
    </font>
    <font>
      <sz val="36"/>
      <color theme="4" tint="-0.24994659260841701"/>
      <name val="Sylfaen"/>
      <family val="2"/>
      <scheme val="major"/>
    </font>
    <font>
      <sz val="16"/>
      <color theme="3"/>
      <name val="Sylfaen"/>
      <family val="2"/>
      <scheme val="major"/>
    </font>
    <font>
      <b/>
      <sz val="11"/>
      <color theme="3"/>
      <name val="Sylfaen"/>
      <family val="2"/>
      <scheme val="major"/>
    </font>
    <font>
      <b/>
      <sz val="10"/>
      <color theme="1" tint="0.14993743705557422"/>
      <name val="Sylfaen"/>
      <family val="1"/>
      <scheme val="major"/>
    </font>
    <font>
      <b/>
      <sz val="10"/>
      <color theme="1" tint="0.14990691854609822"/>
      <name val="Sylfaen"/>
      <family val="1"/>
      <scheme val="minor"/>
    </font>
    <font>
      <b/>
      <sz val="12"/>
      <color theme="1" tint="0.14993743705557422"/>
      <name val="Sylfaen"/>
      <family val="1"/>
      <scheme val="major"/>
    </font>
    <font>
      <sz val="10"/>
      <color theme="1" tint="0.14990691854609822"/>
      <name val="Sylfaen"/>
      <family val="1"/>
      <scheme val="minor"/>
    </font>
    <font>
      <sz val="10"/>
      <color rgb="FF0070C0"/>
      <name val="Sylfaen"/>
      <family val="1"/>
      <scheme val="minor"/>
    </font>
    <font>
      <b/>
      <sz val="12"/>
      <color theme="3"/>
      <name val="Sylfaen"/>
      <family val="1"/>
      <scheme val="major"/>
    </font>
    <font>
      <sz val="10"/>
      <name val="Sylfaen"/>
      <family val="1"/>
      <scheme val="minor"/>
    </font>
    <font>
      <sz val="10"/>
      <color theme="0"/>
      <name val="Sylfaen"/>
      <family val="1"/>
      <scheme val="minor"/>
    </font>
    <font>
      <sz val="34"/>
      <color theme="4" tint="-0.24994659260841701"/>
      <name val="Sylfaen"/>
      <family val="2"/>
      <scheme val="major"/>
    </font>
    <font>
      <i/>
      <sz val="10"/>
      <color theme="1" tint="0.14990691854609822"/>
      <name val="Sylfaen"/>
      <family val="1"/>
      <scheme val="minor"/>
    </font>
  </fonts>
  <fills count="4">
    <fill>
      <patternFill patternType="none"/>
    </fill>
    <fill>
      <patternFill patternType="gray125"/>
    </fill>
    <fill>
      <patternFill patternType="solid">
        <fgColor theme="4" tint="0.39997558519241921"/>
        <bgColor indexed="64"/>
      </patternFill>
    </fill>
    <fill>
      <patternFill patternType="solid">
        <fgColor rgb="FFFFFFC0"/>
        <bgColor indexed="64"/>
      </patternFill>
    </fill>
  </fills>
  <borders count="14">
    <border>
      <left/>
      <right/>
      <top/>
      <bottom/>
      <diagonal/>
    </border>
    <border>
      <left/>
      <right/>
      <top/>
      <bottom style="medium">
        <color theme="4" tint="0.3999755851924192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ck">
        <color theme="4" tint="-0.499984740745262"/>
      </bottom>
      <diagonal/>
    </border>
    <border>
      <left style="double">
        <color theme="4" tint="0.39994506668294322"/>
      </left>
      <right style="double">
        <color theme="4" tint="0.39994506668294322"/>
      </right>
      <top style="double">
        <color theme="4" tint="0.39994506668294322"/>
      </top>
      <bottom style="double">
        <color theme="4" tint="0.39994506668294322"/>
      </bottom>
      <diagonal/>
    </border>
    <border>
      <left style="double">
        <color theme="4" tint="0.39991454817346722"/>
      </left>
      <right style="double">
        <color theme="4" tint="0.39991454817346722"/>
      </right>
      <top style="double">
        <color theme="4" tint="0.39994506668294322"/>
      </top>
      <bottom style="double">
        <color theme="4" tint="0.39991454817346722"/>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theme="2" tint="-0.499984740745262"/>
      </left>
      <right style="thin">
        <color theme="2" tint="-0.499984740745262"/>
      </right>
      <top style="thin">
        <color indexed="64"/>
      </top>
      <bottom style="double">
        <color indexed="64"/>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right/>
      <top style="thin">
        <color indexed="64"/>
      </top>
      <bottom style="medium">
        <color indexed="64"/>
      </bottom>
      <diagonal/>
    </border>
  </borders>
  <cellStyleXfs count="7">
    <xf numFmtId="0" fontId="0" fillId="0" borderId="0"/>
    <xf numFmtId="0" fontId="2" fillId="0" borderId="3" applyNumberFormat="0" applyFill="0" applyProtection="0">
      <alignment vertical="center"/>
    </xf>
    <xf numFmtId="0" fontId="3" fillId="0" borderId="0" applyNumberFormat="0" applyFill="0" applyProtection="0"/>
    <xf numFmtId="0" fontId="4" fillId="0" borderId="1" applyNumberFormat="0" applyFill="0" applyAlignment="0" applyProtection="0"/>
    <xf numFmtId="0" fontId="4"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67">
    <xf numFmtId="0" fontId="0" fillId="0" borderId="0" xfId="0"/>
    <xf numFmtId="9" fontId="0" fillId="0" borderId="0" xfId="6" applyFont="1"/>
    <xf numFmtId="166" fontId="0" fillId="0" borderId="0" xfId="5" applyNumberFormat="1" applyFont="1"/>
    <xf numFmtId="166" fontId="0" fillId="0" borderId="0" xfId="0" applyNumberFormat="1"/>
    <xf numFmtId="9" fontId="0" fillId="0" borderId="0" xfId="6" applyFont="1" applyFill="1"/>
    <xf numFmtId="0" fontId="0" fillId="0" borderId="13" xfId="0" applyBorder="1"/>
    <xf numFmtId="166" fontId="0" fillId="0" borderId="13" xfId="5" applyNumberFormat="1" applyFont="1" applyBorder="1"/>
    <xf numFmtId="0" fontId="0" fillId="0" borderId="13" xfId="0" applyBorder="1" applyAlignment="1">
      <alignment horizontal="center"/>
    </xf>
    <xf numFmtId="0" fontId="6" fillId="0" borderId="9" xfId="0" applyFont="1" applyBorder="1"/>
    <xf numFmtId="0" fontId="6" fillId="0" borderId="9" xfId="0" applyFont="1" applyBorder="1" applyAlignment="1">
      <alignment horizontal="center"/>
    </xf>
    <xf numFmtId="0" fontId="13" fillId="0" borderId="3" xfId="1" applyFont="1" applyProtection="1">
      <alignment vertical="center"/>
      <protection locked="0"/>
    </xf>
    <xf numFmtId="0" fontId="2" fillId="0" borderId="3" xfId="1" applyProtection="1">
      <alignment vertical="center"/>
      <protection locked="0"/>
    </xf>
    <xf numFmtId="0" fontId="0" fillId="0" borderId="0" xfId="0" applyProtection="1">
      <protection locked="0"/>
    </xf>
    <xf numFmtId="0" fontId="3" fillId="3" borderId="0" xfId="2" applyFill="1" applyProtection="1">
      <protection locked="0"/>
    </xf>
    <xf numFmtId="0" fontId="1" fillId="0" borderId="0" xfId="0" applyFont="1" applyProtection="1">
      <protection locked="0"/>
    </xf>
    <xf numFmtId="0" fontId="4" fillId="0" borderId="1" xfId="3" applyProtection="1">
      <protection locked="0"/>
    </xf>
    <xf numFmtId="0" fontId="4" fillId="0" borderId="0" xfId="3" applyBorder="1" applyProtection="1">
      <protection locked="0"/>
    </xf>
    <xf numFmtId="164" fontId="0" fillId="3" borderId="4" xfId="0" applyNumberFormat="1" applyFill="1" applyBorder="1" applyProtection="1">
      <protection locked="0"/>
    </xf>
    <xf numFmtId="165" fontId="0" fillId="0" borderId="0" xfId="0" applyNumberFormat="1" applyProtection="1">
      <protection locked="0"/>
    </xf>
    <xf numFmtId="165" fontId="0" fillId="3" borderId="5" xfId="0" applyNumberFormat="1" applyFill="1" applyBorder="1" applyProtection="1">
      <protection locked="0"/>
    </xf>
    <xf numFmtId="0" fontId="5" fillId="0" borderId="6" xfId="0" applyFont="1" applyBorder="1" applyProtection="1">
      <protection locked="0"/>
    </xf>
    <xf numFmtId="9" fontId="0" fillId="0" borderId="0" xfId="6" applyFont="1" applyProtection="1">
      <protection locked="0"/>
    </xf>
    <xf numFmtId="0" fontId="5" fillId="0" borderId="0" xfId="0" applyFont="1" applyProtection="1">
      <protection locked="0"/>
    </xf>
    <xf numFmtId="0" fontId="5" fillId="0" borderId="7" xfId="0" applyFont="1" applyBorder="1" applyProtection="1">
      <protection locked="0"/>
    </xf>
    <xf numFmtId="0" fontId="9" fillId="0" borderId="0" xfId="0" applyFont="1" applyFill="1" applyProtection="1">
      <protection locked="0"/>
    </xf>
    <xf numFmtId="0" fontId="11" fillId="0" borderId="0" xfId="0" applyFont="1" applyFill="1" applyProtection="1">
      <protection locked="0"/>
    </xf>
    <xf numFmtId="0" fontId="0" fillId="0" borderId="0" xfId="0" applyBorder="1" applyProtection="1">
      <protection locked="0"/>
    </xf>
    <xf numFmtId="0" fontId="0" fillId="0" borderId="8" xfId="0" applyBorder="1" applyProtection="1">
      <protection locked="0"/>
    </xf>
    <xf numFmtId="0" fontId="5" fillId="0" borderId="8" xfId="0" applyFont="1" applyBorder="1" applyProtection="1">
      <protection locked="0"/>
    </xf>
    <xf numFmtId="0" fontId="12" fillId="0" borderId="0" xfId="0" applyFont="1" applyProtection="1">
      <protection locked="0"/>
    </xf>
    <xf numFmtId="0" fontId="7" fillId="2" borderId="0" xfId="0" applyFont="1" applyFill="1" applyProtection="1">
      <protection locked="0"/>
    </xf>
    <xf numFmtId="0" fontId="3" fillId="0" borderId="0" xfId="2" applyProtection="1">
      <protection locked="0"/>
    </xf>
    <xf numFmtId="0" fontId="10" fillId="0" borderId="0" xfId="2" applyFont="1" applyProtection="1">
      <protection locked="0"/>
    </xf>
    <xf numFmtId="0" fontId="6" fillId="0" borderId="2" xfId="0" applyFont="1" applyBorder="1" applyProtection="1">
      <protection locked="0"/>
    </xf>
    <xf numFmtId="0" fontId="0" fillId="0" borderId="2" xfId="0" applyFont="1" applyBorder="1" applyProtection="1">
      <protection locked="0"/>
    </xf>
    <xf numFmtId="0" fontId="0" fillId="0" borderId="2" xfId="0" applyBorder="1" applyProtection="1">
      <protection locked="0"/>
    </xf>
    <xf numFmtId="0" fontId="0" fillId="0" borderId="11" xfId="0" applyBorder="1" applyProtection="1">
      <protection locked="0"/>
    </xf>
    <xf numFmtId="0" fontId="0" fillId="0" borderId="10" xfId="0" applyBorder="1" applyProtection="1">
      <protection locked="0"/>
    </xf>
    <xf numFmtId="0" fontId="12" fillId="0" borderId="12" xfId="0" applyFont="1" applyFill="1" applyBorder="1" applyProtection="1">
      <protection locked="0"/>
    </xf>
    <xf numFmtId="165" fontId="12" fillId="0" borderId="0" xfId="6" applyNumberFormat="1" applyFont="1" applyFill="1" applyProtection="1">
      <protection locked="0"/>
    </xf>
    <xf numFmtId="0" fontId="11" fillId="0" borderId="0" xfId="0" applyFont="1" applyProtection="1">
      <protection locked="0"/>
    </xf>
    <xf numFmtId="43" fontId="0" fillId="0" borderId="0" xfId="5" applyFont="1" applyProtection="1">
      <protection locked="0"/>
    </xf>
    <xf numFmtId="165" fontId="0" fillId="0" borderId="0" xfId="0" applyNumberFormat="1" applyBorder="1" applyProtection="1"/>
    <xf numFmtId="165" fontId="5" fillId="0" borderId="6" xfId="0" applyNumberFormat="1" applyFont="1" applyBorder="1" applyProtection="1"/>
    <xf numFmtId="0" fontId="0" fillId="0" borderId="0" xfId="0" applyProtection="1"/>
    <xf numFmtId="165" fontId="0" fillId="0" borderId="0" xfId="0" applyNumberFormat="1" applyProtection="1"/>
    <xf numFmtId="165" fontId="5" fillId="0" borderId="0" xfId="0" applyNumberFormat="1" applyFont="1" applyProtection="1"/>
    <xf numFmtId="165" fontId="5" fillId="0" borderId="7" xfId="0" applyNumberFormat="1" applyFont="1" applyBorder="1" applyProtection="1"/>
    <xf numFmtId="10" fontId="5" fillId="0" borderId="0" xfId="0" applyNumberFormat="1" applyFont="1" applyProtection="1"/>
    <xf numFmtId="0" fontId="4" fillId="0" borderId="1" xfId="3" applyProtection="1"/>
    <xf numFmtId="165" fontId="5" fillId="0" borderId="8" xfId="0" applyNumberFormat="1" applyFont="1" applyBorder="1" applyProtection="1"/>
    <xf numFmtId="0" fontId="12" fillId="0" borderId="0" xfId="0" applyFont="1" applyProtection="1"/>
    <xf numFmtId="165" fontId="7" fillId="2" borderId="0" xfId="0" applyNumberFormat="1" applyFont="1" applyFill="1" applyProtection="1"/>
    <xf numFmtId="0" fontId="0" fillId="0" borderId="0" xfId="0" applyAlignment="1" applyProtection="1">
      <alignment horizontal="center"/>
    </xf>
    <xf numFmtId="165" fontId="6" fillId="0" borderId="2" xfId="0" applyNumberFormat="1" applyFont="1" applyBorder="1" applyProtection="1"/>
    <xf numFmtId="165" fontId="0" fillId="0" borderId="2" xfId="0" applyNumberFormat="1" applyFont="1" applyBorder="1" applyProtection="1"/>
    <xf numFmtId="165" fontId="0" fillId="0" borderId="2" xfId="0" applyNumberFormat="1" applyBorder="1" applyProtection="1"/>
    <xf numFmtId="165" fontId="0" fillId="0" borderId="11" xfId="0" applyNumberFormat="1" applyBorder="1" applyProtection="1"/>
    <xf numFmtId="165" fontId="0" fillId="0" borderId="10" xfId="0" applyNumberFormat="1" applyBorder="1" applyProtection="1"/>
    <xf numFmtId="165" fontId="11" fillId="0" borderId="0" xfId="0" applyNumberFormat="1" applyFont="1" applyBorder="1" applyProtection="1"/>
    <xf numFmtId="165" fontId="12" fillId="0" borderId="0" xfId="6" applyNumberFormat="1" applyFont="1" applyFill="1" applyProtection="1"/>
    <xf numFmtId="165" fontId="11" fillId="0" borderId="0" xfId="0" applyNumberFormat="1" applyFont="1" applyFill="1" applyProtection="1">
      <protection hidden="1"/>
    </xf>
    <xf numFmtId="165" fontId="0" fillId="0" borderId="0" xfId="0" applyNumberFormat="1" applyProtection="1">
      <protection hidden="1"/>
    </xf>
    <xf numFmtId="9" fontId="0" fillId="3" borderId="0" xfId="6" applyFont="1" applyFill="1" applyAlignment="1">
      <alignment horizontal="center" wrapText="1"/>
    </xf>
    <xf numFmtId="0" fontId="14" fillId="3" borderId="0" xfId="0" applyFont="1" applyFill="1"/>
    <xf numFmtId="0" fontId="0" fillId="3" borderId="0" xfId="0" applyFill="1"/>
    <xf numFmtId="0" fontId="14" fillId="0" borderId="0" xfId="0" applyFont="1" applyAlignment="1" applyProtection="1">
      <alignment horizontal="center"/>
      <protection locked="0"/>
    </xf>
  </cellXfs>
  <cellStyles count="7">
    <cellStyle name="Comma" xfId="5" builtinId="3"/>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6" builtinId="5"/>
  </cellStyles>
  <dxfs count="0"/>
  <tableStyles count="0" defaultTableStyle="TableStyleMedium2" defaultPivotStyle="PivotStyleLight16"/>
  <colors>
    <mruColors>
      <color rgb="FFFFFFC0"/>
      <color rgb="FFCCFFFF"/>
      <color rgb="FF66FFFF"/>
      <color rgb="FF00FFFF"/>
      <color rgb="FF0CA1E4"/>
      <color rgb="FFC06C88"/>
      <color rgb="FF600080"/>
      <color rgb="FFA0E0E0"/>
      <color rgb="FF8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Conservative  Growth Scenario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5"/>
          <c:order val="0"/>
          <c:tx>
            <c:strRef>
              <c:f>'EARNINGS ANALYSIS'!$B$46</c:f>
              <c:strCache>
                <c:ptCount val="1"/>
                <c:pt idx="0">
                  <c:v>CONSERVATIVE TOTAL EXPENSES</c:v>
                </c:pt>
              </c:strCache>
            </c:strRef>
          </c:tx>
          <c:spPr>
            <a:gradFill rotWithShape="1">
              <a:gsLst>
                <a:gs pos="0">
                  <a:schemeClr val="accent6">
                    <a:tint val="65000"/>
                    <a:shade val="51000"/>
                    <a:satMod val="130000"/>
                  </a:schemeClr>
                </a:gs>
                <a:gs pos="80000">
                  <a:schemeClr val="accent6">
                    <a:tint val="65000"/>
                    <a:shade val="93000"/>
                    <a:satMod val="130000"/>
                  </a:schemeClr>
                </a:gs>
                <a:gs pos="100000">
                  <a:schemeClr val="accent6">
                    <a:tint val="6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'EARNINGS ANALYSIS'!$C$40:$H$40</c15:sqref>
                  </c15:fullRef>
                </c:ext>
              </c:extLst>
              <c:f>'EARNINGS ANALYSIS'!$C$40:$G$40</c:f>
              <c:strCache>
                <c:ptCount val="5"/>
                <c:pt idx="0">
                  <c:v>Year 1</c:v>
                </c:pt>
                <c:pt idx="1">
                  <c:v>Year 2</c:v>
                </c:pt>
                <c:pt idx="2">
                  <c:v>Year 3</c:v>
                </c:pt>
                <c:pt idx="3">
                  <c:v>Year 4</c:v>
                </c:pt>
                <c:pt idx="4">
                  <c:v>Year 5</c:v>
                </c:pt>
              </c:strCache>
            </c:strRef>
          </c:cat>
          <c:val>
            <c:numRef>
              <c:extLst>
                <c:ext xmlns:c15="http://schemas.microsoft.com/office/drawing/2012/chart" uri="{02D57815-91ED-43cb-92C2-25804820EDAC}">
                  <c15:fullRef>
                    <c15:sqref>'EARNINGS ANALYSIS'!$C$46:$H$46</c15:sqref>
                  </c15:fullRef>
                </c:ext>
              </c:extLst>
              <c:f>'EARNINGS ANALYSIS'!$C$46:$G$46</c:f>
              <c:numCache>
                <c:formatCode>"$"#,##0</c:formatCode>
                <c:ptCount val="5"/>
                <c:pt idx="0">
                  <c:v>2467813.2097560978</c:v>
                </c:pt>
                <c:pt idx="1">
                  <c:v>3942501.1356097567</c:v>
                </c:pt>
                <c:pt idx="2">
                  <c:v>5318876.533073171</c:v>
                </c:pt>
                <c:pt idx="3">
                  <c:v>6380651.8396878056</c:v>
                </c:pt>
                <c:pt idx="4">
                  <c:v>7017717.0236565862</c:v>
                </c:pt>
              </c:numCache>
            </c:numRef>
          </c:val>
          <c:extLst>
            <c:ext xmlns:c16="http://schemas.microsoft.com/office/drawing/2014/chart" uri="{C3380CC4-5D6E-409C-BE32-E72D297353CC}">
              <c16:uniqueId val="{00000000-1F48-478D-868D-180169282FAD}"/>
            </c:ext>
          </c:extLst>
        </c:ser>
        <c:ser>
          <c:idx val="2"/>
          <c:order val="2"/>
          <c:tx>
            <c:strRef>
              <c:f>'EARNINGS ANALYSIS'!$B$43</c:f>
              <c:strCache>
                <c:ptCount val="1"/>
                <c:pt idx="0">
                  <c:v>CONSERVATIVE TOTAL SALES</c:v>
                </c:pt>
              </c:strCache>
            </c:strRef>
          </c:tx>
          <c:spPr>
            <a:gradFill rotWithShape="1">
              <a:gsLst>
                <a:gs pos="0">
                  <a:schemeClr val="accent6">
                    <a:shade val="82000"/>
                    <a:shade val="51000"/>
                    <a:satMod val="130000"/>
                  </a:schemeClr>
                </a:gs>
                <a:gs pos="80000">
                  <a:schemeClr val="accent6">
                    <a:shade val="82000"/>
                    <a:shade val="93000"/>
                    <a:satMod val="130000"/>
                  </a:schemeClr>
                </a:gs>
                <a:gs pos="100000">
                  <a:schemeClr val="accent6">
                    <a:shade val="8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'EARNINGS ANALYSIS'!$C$40:$H$40</c15:sqref>
                  </c15:fullRef>
                </c:ext>
              </c:extLst>
              <c:f>'EARNINGS ANALYSIS'!$C$40:$G$40</c:f>
              <c:strCache>
                <c:ptCount val="5"/>
                <c:pt idx="0">
                  <c:v>Year 1</c:v>
                </c:pt>
                <c:pt idx="1">
                  <c:v>Year 2</c:v>
                </c:pt>
                <c:pt idx="2">
                  <c:v>Year 3</c:v>
                </c:pt>
                <c:pt idx="3">
                  <c:v>Year 4</c:v>
                </c:pt>
                <c:pt idx="4">
                  <c:v>Year 5</c:v>
                </c:pt>
              </c:strCache>
            </c:strRef>
          </c:cat>
          <c:val>
            <c:numRef>
              <c:extLst>
                <c:ext xmlns:c15="http://schemas.microsoft.com/office/drawing/2012/chart" uri="{02D57815-91ED-43cb-92C2-25804820EDAC}">
                  <c15:fullRef>
                    <c15:sqref>'EARNINGS ANALYSIS'!$C$43:$H$43</c15:sqref>
                  </c15:fullRef>
                </c:ext>
              </c:extLst>
              <c:f>'EARNINGS ANALYSIS'!$C$43:$G$43</c:f>
              <c:numCache>
                <c:formatCode>"$"#,##0</c:formatCode>
                <c:ptCount val="5"/>
                <c:pt idx="0">
                  <c:v>2840000</c:v>
                </c:pt>
                <c:pt idx="1">
                  <c:v>4544000</c:v>
                </c:pt>
                <c:pt idx="2">
                  <c:v>6134400</c:v>
                </c:pt>
                <c:pt idx="3">
                  <c:v>7361280</c:v>
                </c:pt>
                <c:pt idx="4">
                  <c:v>8097408</c:v>
                </c:pt>
              </c:numCache>
            </c:numRef>
          </c:val>
          <c:extLst xmlns:c15="http://schemas.microsoft.com/office/drawing/2012/chart">
            <c:ext xmlns:c16="http://schemas.microsoft.com/office/drawing/2014/chart" uri="{C3380CC4-5D6E-409C-BE32-E72D297353CC}">
              <c16:uniqueId val="{00000002-A8CC-4FBC-9922-00F2A1322264}"/>
            </c:ext>
          </c:extLst>
        </c:ser>
        <c:dLbls>
          <c:showLegendKey val="0"/>
          <c:showVal val="0"/>
          <c:showCatName val="0"/>
          <c:showSerName val="0"/>
          <c:showPercent val="0"/>
          <c:showBubbleSize val="0"/>
        </c:dLbls>
        <c:gapWidth val="150"/>
        <c:axId val="186127488"/>
        <c:axId val="186128048"/>
      </c:barChart>
      <c:lineChart>
        <c:grouping val="stacked"/>
        <c:varyColors val="0"/>
        <c:ser>
          <c:idx val="6"/>
          <c:order val="1"/>
          <c:tx>
            <c:strRef>
              <c:f>'EARNINGS ANALYSIS'!$B$47</c:f>
              <c:strCache>
                <c:ptCount val="1"/>
                <c:pt idx="0">
                  <c:v>CONSERVATIVE NET PROFIT (LOSS) </c:v>
                </c:pt>
              </c:strCache>
            </c:strRef>
          </c:tx>
          <c:spPr>
            <a:ln w="34925" cap="rnd">
              <a:solidFill>
                <a:schemeClr val="tx2">
                  <a:lumMod val="60000"/>
                  <a:lumOff val="40000"/>
                </a:schemeClr>
              </a:solidFill>
              <a:round/>
            </a:ln>
            <a:effectLst>
              <a:outerShdw blurRad="40000" dist="23000" dir="5400000" rotWithShape="0">
                <a:srgbClr val="000000">
                  <a:alpha val="35000"/>
                </a:srgbClr>
              </a:outerShdw>
            </a:effectLst>
          </c:spPr>
          <c:marker>
            <c:symbol val="circle"/>
            <c:size val="6"/>
            <c:spPr>
              <a:gradFill rotWithShape="1">
                <a:gsLst>
                  <a:gs pos="0">
                    <a:schemeClr val="accent6">
                      <a:tint val="48000"/>
                      <a:shade val="51000"/>
                      <a:satMod val="130000"/>
                    </a:schemeClr>
                  </a:gs>
                  <a:gs pos="80000">
                    <a:schemeClr val="accent6">
                      <a:tint val="48000"/>
                      <a:shade val="93000"/>
                      <a:satMod val="130000"/>
                    </a:schemeClr>
                  </a:gs>
                  <a:gs pos="100000">
                    <a:schemeClr val="accent6">
                      <a:tint val="48000"/>
                      <a:shade val="94000"/>
                      <a:satMod val="135000"/>
                    </a:schemeClr>
                  </a:gs>
                </a:gsLst>
                <a:lin ang="16200000" scaled="0"/>
              </a:gradFill>
              <a:ln w="9525">
                <a:solidFill>
                  <a:schemeClr val="tx2">
                    <a:lumMod val="60000"/>
                    <a:lumOff val="4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extLst>
                <c:ext xmlns:c15="http://schemas.microsoft.com/office/drawing/2012/chart" uri="{02D57815-91ED-43cb-92C2-25804820EDAC}">
                  <c15:fullRef>
                    <c15:sqref>'EARNINGS ANALYSIS'!$C$40:$G$40</c15:sqref>
                  </c15:fullRef>
                </c:ext>
              </c:extLst>
              <c:f>'EARNINGS ANALYSIS'!$C$40:$G$40</c:f>
              <c:strCache>
                <c:ptCount val="5"/>
                <c:pt idx="0">
                  <c:v>Year 1</c:v>
                </c:pt>
                <c:pt idx="1">
                  <c:v>Year 2</c:v>
                </c:pt>
                <c:pt idx="2">
                  <c:v>Year 3</c:v>
                </c:pt>
                <c:pt idx="3">
                  <c:v>Year 4</c:v>
                </c:pt>
                <c:pt idx="4">
                  <c:v>Year 5</c:v>
                </c:pt>
              </c:strCache>
            </c:strRef>
          </c:cat>
          <c:val>
            <c:numRef>
              <c:extLst>
                <c:ext xmlns:c15="http://schemas.microsoft.com/office/drawing/2012/chart" uri="{02D57815-91ED-43cb-92C2-25804820EDAC}">
                  <c15:fullRef>
                    <c15:sqref>'EARNINGS ANALYSIS'!$C$47:$H$47</c15:sqref>
                  </c15:fullRef>
                </c:ext>
              </c:extLst>
              <c:f>'EARNINGS ANALYSIS'!$C$47:$G$47</c:f>
              <c:numCache>
                <c:formatCode>"$"#,##0</c:formatCode>
                <c:ptCount val="5"/>
                <c:pt idx="0">
                  <c:v>372186.79024390224</c:v>
                </c:pt>
                <c:pt idx="1">
                  <c:v>601498.86439024331</c:v>
                </c:pt>
                <c:pt idx="2">
                  <c:v>815523.46692682896</c:v>
                </c:pt>
                <c:pt idx="3">
                  <c:v>980628.16031219438</c:v>
                </c:pt>
                <c:pt idx="4">
                  <c:v>1079690.9763434138</c:v>
                </c:pt>
              </c:numCache>
            </c:numRef>
          </c:val>
          <c:smooth val="0"/>
          <c:extLst>
            <c:ext xmlns:c16="http://schemas.microsoft.com/office/drawing/2014/chart" uri="{C3380CC4-5D6E-409C-BE32-E72D297353CC}">
              <c16:uniqueId val="{00000001-1F48-478D-868D-180169282FAD}"/>
            </c:ext>
          </c:extLst>
        </c:ser>
        <c:dLbls>
          <c:showLegendKey val="0"/>
          <c:showVal val="0"/>
          <c:showCatName val="0"/>
          <c:showSerName val="0"/>
          <c:showPercent val="0"/>
          <c:showBubbleSize val="0"/>
        </c:dLbls>
        <c:marker val="1"/>
        <c:smooth val="0"/>
        <c:axId val="186127488"/>
        <c:axId val="186128048"/>
        <c:extLst/>
      </c:lineChart>
      <c:catAx>
        <c:axId val="186127488"/>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128048"/>
        <c:crosses val="autoZero"/>
        <c:auto val="1"/>
        <c:lblAlgn val="ctr"/>
        <c:lblOffset val="100"/>
        <c:noMultiLvlLbl val="0"/>
      </c:catAx>
      <c:valAx>
        <c:axId val="186128048"/>
        <c:scaling>
          <c:orientation val="minMax"/>
          <c:max val="15000000"/>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12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DIRECT MATERIAL COGS BY CATEGORY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77767978354338E-2"/>
          <c:y val="0.25703303667373872"/>
          <c:w val="0.53650246465567142"/>
          <c:h val="0.6917542999432762"/>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E18-4728-9F7F-C78BA22160F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E18-4728-9F7F-C78BA22160F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E18-4728-9F7F-C78BA22160F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9E18-4728-9F7F-C78BA22160F3}"/>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9E18-4728-9F7F-C78BA22160F3}"/>
              </c:ext>
            </c:extLst>
          </c:dPt>
          <c:dLbls>
            <c:dLbl>
              <c:idx val="0"/>
              <c:layout>
                <c:manualLayout>
                  <c:x val="-0.14867908502031041"/>
                  <c:y val="-3.3382495873123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18-4728-9F7F-C78BA22160F3}"/>
                </c:ext>
              </c:extLst>
            </c:dLbl>
            <c:dLbl>
              <c:idx val="1"/>
              <c:layout>
                <c:manualLayout>
                  <c:x val="0.12531908123899896"/>
                  <c:y val="-2.93965472374531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18-4728-9F7F-C78BA22160F3}"/>
                </c:ext>
              </c:extLst>
            </c:dLbl>
            <c:dLbl>
              <c:idx val="2"/>
              <c:layout>
                <c:manualLayout>
                  <c:x val="3.8525737433011853E-2"/>
                  <c:y val="0.1233586933439780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18-4728-9F7F-C78BA22160F3}"/>
                </c:ext>
              </c:extLst>
            </c:dLbl>
            <c:dLbl>
              <c:idx val="3"/>
              <c:layout>
                <c:manualLayout>
                  <c:x val="9.2997881082478001E-2"/>
                  <c:y val="-6.96392248591411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18-4728-9F7F-C78BA22160F3}"/>
                </c:ext>
              </c:extLst>
            </c:dLbl>
            <c:dLbl>
              <c:idx val="4"/>
              <c:layout>
                <c:manualLayout>
                  <c:x val="0.13457743725628951"/>
                  <c:y val="-1.27672165425587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E18-4728-9F7F-C78BA22160F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'EARNINGS ANALYSIS'!$E$14:$E$16</c:f>
              <c:strCache>
                <c:ptCount val="3"/>
                <c:pt idx="0">
                  <c:v>PANEL SALES</c:v>
                </c:pt>
                <c:pt idx="1">
                  <c:v>TRIM SALES</c:v>
                </c:pt>
                <c:pt idx="2">
                  <c:v>ACCESSORY SALES</c:v>
                </c:pt>
              </c:strCache>
            </c:strRef>
          </c:cat>
          <c:val>
            <c:numRef>
              <c:f>'EARNINGS ANALYSIS'!$F$14:$F$16</c:f>
              <c:numCache>
                <c:formatCode>"$"#,##0</c:formatCode>
                <c:ptCount val="3"/>
                <c:pt idx="0">
                  <c:v>439024.3902439021</c:v>
                </c:pt>
                <c:pt idx="1">
                  <c:v>350000</c:v>
                </c:pt>
                <c:pt idx="2">
                  <c:v>70000</c:v>
                </c:pt>
              </c:numCache>
            </c:numRef>
          </c:val>
          <c:extLst>
            <c:ext xmlns:c16="http://schemas.microsoft.com/office/drawing/2014/chart" uri="{C3380CC4-5D6E-409C-BE32-E72D297353CC}">
              <c16:uniqueId val="{0000000A-9E18-4728-9F7F-C78BA22160F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0392297703798004"/>
          <c:y val="0.33650919879014252"/>
          <c:w val="0.34138233415395591"/>
          <c:h val="0.460381340495662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FIXED EXPENSES</a:t>
            </a:r>
            <a:r>
              <a:rPr lang="en-US" baseline="0"/>
              <a:t> BY CATEGORY</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77767978354338E-2"/>
          <c:y val="0.25703303667373872"/>
          <c:w val="0.53650246465567142"/>
          <c:h val="0.6917542999432762"/>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4018-474B-8D72-8294842328C3}"/>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4018-474B-8D72-8294842328C3}"/>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4018-474B-8D72-8294842328C3}"/>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4018-474B-8D72-8294842328C3}"/>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4018-474B-8D72-8294842328C3}"/>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4018-474B-8D72-8294842328C3}"/>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4018-474B-8D72-8294842328C3}"/>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4018-474B-8D72-8294842328C3}"/>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4018-474B-8D72-8294842328C3}"/>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4018-474B-8D72-8294842328C3}"/>
              </c:ext>
            </c:extLst>
          </c:dPt>
          <c:dPt>
            <c:idx val="10"/>
            <c:bubble3D val="0"/>
            <c:spPr>
              <a:solidFill>
                <a:schemeClr val="accent6">
                  <a:lumMod val="75000"/>
                </a:schemeClr>
              </a:solidFill>
              <a:ln>
                <a:solidFill>
                  <a:schemeClr val="accent6">
                    <a:lumMod val="60000"/>
                    <a:lumOff val="40000"/>
                  </a:schemeClr>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4018-474B-8D72-8294842328C3}"/>
              </c:ext>
            </c:extLst>
          </c:dPt>
          <c:dLbls>
            <c:dLbl>
              <c:idx val="0"/>
              <c:layout>
                <c:manualLayout>
                  <c:x val="-4.734202808199392E-2"/>
                  <c:y val="9.615078940483690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018-474B-8D72-8294842328C3}"/>
                </c:ext>
              </c:extLst>
            </c:dLbl>
            <c:dLbl>
              <c:idx val="1"/>
              <c:layout>
                <c:manualLayout>
                  <c:x val="2.4638891205501279E-2"/>
                  <c:y val="-9.616223139918272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018-474B-8D72-8294842328C3}"/>
                </c:ext>
              </c:extLst>
            </c:dLbl>
            <c:dLbl>
              <c:idx val="2"/>
              <c:layout>
                <c:manualLayout>
                  <c:x val="5.0285455982795123E-2"/>
                  <c:y val="-8.4157878493441876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extLst>
                <c:ext xmlns:c15="http://schemas.microsoft.com/office/drawing/2012/chart" uri="{CE6537A1-D6FC-4f65-9D91-7224C49458BB}">
                  <c15:layout>
                    <c:manualLayout>
                      <c:w val="6.3659506378682312E-2"/>
                      <c:h val="7.6126680813507236E-2"/>
                    </c:manualLayout>
                  </c15:layout>
                </c:ext>
                <c:ext xmlns:c16="http://schemas.microsoft.com/office/drawing/2014/chart" uri="{C3380CC4-5D6E-409C-BE32-E72D297353CC}">
                  <c16:uniqueId val="{00000005-4018-474B-8D72-8294842328C3}"/>
                </c:ext>
              </c:extLst>
            </c:dLbl>
            <c:dLbl>
              <c:idx val="3"/>
              <c:layout>
                <c:manualLayout>
                  <c:x val="9.2997881082478001E-2"/>
                  <c:y val="-6.963922485914117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018-474B-8D72-8294842328C3}"/>
                </c:ext>
              </c:extLst>
            </c:dLbl>
            <c:dLbl>
              <c:idx val="4"/>
              <c:layout>
                <c:manualLayout>
                  <c:x val="0.1164550692219659"/>
                  <c:y val="-2.454926273354811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018-474B-8D72-8294842328C3}"/>
                </c:ext>
              </c:extLst>
            </c:dLbl>
            <c:dLbl>
              <c:idx val="5"/>
              <c:layout>
                <c:manualLayout>
                  <c:x val="0.15024166407963588"/>
                  <c:y val="-9.446263137419588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018-474B-8D72-8294842328C3}"/>
                </c:ext>
              </c:extLst>
            </c:dLbl>
            <c:dLbl>
              <c:idx val="7"/>
              <c:layout>
                <c:manualLayout>
                  <c:x val="0.11800459228342906"/>
                  <c:y val="1.95856018891041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018-474B-8D72-8294842328C3}"/>
                </c:ext>
              </c:extLst>
            </c:dLbl>
            <c:dLbl>
              <c:idx val="8"/>
              <c:layout>
                <c:manualLayout>
                  <c:x val="8.4597648809231249E-2"/>
                  <c:y val="3.776476620294634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018-474B-8D72-8294842328C3}"/>
                </c:ext>
              </c:extLst>
            </c:dLbl>
            <c:dLbl>
              <c:idx val="9"/>
              <c:layout>
                <c:manualLayout>
                  <c:x val="3.6984022138852289E-2"/>
                  <c:y val="7.41428863884179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4018-474B-8D72-8294842328C3}"/>
                </c:ext>
              </c:extLst>
            </c:dLbl>
            <c:dLbl>
              <c:idx val="10"/>
              <c:layout>
                <c:manualLayout>
                  <c:x val="5.9986371579954137E-2"/>
                  <c:y val="-0.431679286359312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018-474B-8D72-8294842328C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'EARNINGS ANALYSIS'!$H$6:$H$16</c:f>
              <c:strCache>
                <c:ptCount val="11"/>
                <c:pt idx="0">
                  <c:v>LABOR</c:v>
                </c:pt>
                <c:pt idx="1">
                  <c:v>RENT</c:v>
                </c:pt>
                <c:pt idx="2">
                  <c:v>UTILITIES</c:v>
                </c:pt>
                <c:pt idx="3">
                  <c:v>INSURANCE</c:v>
                </c:pt>
                <c:pt idx="4">
                  <c:v>LOAN / LEASE (PRINC &amp; INT)</c:v>
                </c:pt>
                <c:pt idx="5">
                  <c:v>OFFICE SUPPLIES</c:v>
                </c:pt>
                <c:pt idx="6">
                  <c:v>PACKAGING</c:v>
                </c:pt>
                <c:pt idx="7">
                  <c:v>REPAIRS &amp; MAINTENANCE</c:v>
                </c:pt>
                <c:pt idx="8">
                  <c:v>ADVERTISING</c:v>
                </c:pt>
                <c:pt idx="9">
                  <c:v>INSURANCE</c:v>
                </c:pt>
                <c:pt idx="10">
                  <c:v>MATERIAL</c:v>
                </c:pt>
              </c:strCache>
            </c:strRef>
          </c:cat>
          <c:val>
            <c:numRef>
              <c:f>'EARNINGS ANALYSIS'!$I$6:$I$16</c:f>
              <c:numCache>
                <c:formatCode>"$"#,##0</c:formatCode>
                <c:ptCount val="11"/>
                <c:pt idx="0">
                  <c:v>255600</c:v>
                </c:pt>
                <c:pt idx="1">
                  <c:v>56800</c:v>
                </c:pt>
                <c:pt idx="2">
                  <c:v>63900</c:v>
                </c:pt>
                <c:pt idx="3">
                  <c:v>8520</c:v>
                </c:pt>
                <c:pt idx="4">
                  <c:v>10000</c:v>
                </c:pt>
                <c:pt idx="5">
                  <c:v>3976</c:v>
                </c:pt>
                <c:pt idx="6">
                  <c:v>19880</c:v>
                </c:pt>
                <c:pt idx="7">
                  <c:v>19880</c:v>
                </c:pt>
                <c:pt idx="8">
                  <c:v>28400</c:v>
                </c:pt>
                <c:pt idx="9">
                  <c:v>19880</c:v>
                </c:pt>
                <c:pt idx="10">
                  <c:v>1980977.209756098</c:v>
                </c:pt>
              </c:numCache>
            </c:numRef>
          </c:val>
          <c:extLst>
            <c:ext xmlns:c16="http://schemas.microsoft.com/office/drawing/2014/chart" uri="{C3380CC4-5D6E-409C-BE32-E72D297353CC}">
              <c16:uniqueId val="{00000016-4018-474B-8D72-8294842328C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8860254476157856"/>
          <c:y val="0.14177236504131496"/>
          <c:w val="0.30112140222235695"/>
          <c:h val="0.83101087751846847"/>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Aggresive Growth Scenario</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6"/>
          <c:order val="0"/>
          <c:tx>
            <c:strRef>
              <c:f>'EARNINGS ANALYSIS'!$B$55</c:f>
              <c:strCache>
                <c:ptCount val="1"/>
                <c:pt idx="0">
                  <c:v>AGGRESSIVE TOTAL EXPENSES</c:v>
                </c:pt>
              </c:strCache>
            </c:strRef>
          </c:tx>
          <c:spPr>
            <a:gradFill rotWithShape="1">
              <a:gsLst>
                <a:gs pos="0">
                  <a:schemeClr val="accent3">
                    <a:tint val="62000"/>
                    <a:shade val="51000"/>
                    <a:satMod val="130000"/>
                  </a:schemeClr>
                </a:gs>
                <a:gs pos="80000">
                  <a:schemeClr val="accent3">
                    <a:tint val="62000"/>
                    <a:shade val="93000"/>
                    <a:satMod val="130000"/>
                  </a:schemeClr>
                </a:gs>
                <a:gs pos="100000">
                  <a:schemeClr val="accent3">
                    <a:tint val="6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Lit>
              <c:ptCount val="5"/>
              <c:pt idx="0">
                <c:v>Year 1</c:v>
              </c:pt>
              <c:pt idx="1">
                <c:v>Year 2</c:v>
              </c:pt>
              <c:pt idx="2">
                <c:v>Year 3</c:v>
              </c:pt>
              <c:pt idx="3">
                <c:v>Year 4</c:v>
              </c:pt>
              <c:pt idx="4">
                <c:v>Year 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'EARNINGS ANALYSIS'!$C$55:$H$55</c15:sqref>
                  </c15:fullRef>
                </c:ext>
              </c:extLst>
              <c:f>'EARNINGS ANALYSIS'!$C$55:$G$55</c:f>
              <c:numCache>
                <c:formatCode>"$"#,##0</c:formatCode>
                <c:ptCount val="5"/>
                <c:pt idx="0">
                  <c:v>2467813.2097560978</c:v>
                </c:pt>
                <c:pt idx="1">
                  <c:v>4925626.4195121955</c:v>
                </c:pt>
                <c:pt idx="2">
                  <c:v>7629220.9502439033</c:v>
                </c:pt>
                <c:pt idx="3">
                  <c:v>9343545.6640487816</c:v>
                </c:pt>
                <c:pt idx="4">
                  <c:v>11210254.796858538</c:v>
                </c:pt>
              </c:numCache>
            </c:numRef>
          </c:val>
          <c:extLst>
            <c:ext xmlns:c16="http://schemas.microsoft.com/office/drawing/2014/chart" uri="{C3380CC4-5D6E-409C-BE32-E72D297353CC}">
              <c16:uniqueId val="{00000000-D46A-4E7D-802F-47C7EC577176}"/>
            </c:ext>
          </c:extLst>
        </c:ser>
        <c:ser>
          <c:idx val="3"/>
          <c:order val="2"/>
          <c:tx>
            <c:strRef>
              <c:f>'EARNINGS ANALYSIS'!$B$52</c:f>
              <c:strCache>
                <c:ptCount val="1"/>
                <c:pt idx="0">
                  <c:v>AGGRESSIVE TOTAL SALES</c:v>
                </c:pt>
              </c:strCache>
            </c:strRef>
          </c:tx>
          <c:spPr>
            <a:gradFill rotWithShape="1">
              <a:gsLst>
                <a:gs pos="0">
                  <a:schemeClr val="accent3">
                    <a:shade val="92000"/>
                    <a:shade val="51000"/>
                    <a:satMod val="130000"/>
                  </a:schemeClr>
                </a:gs>
                <a:gs pos="80000">
                  <a:schemeClr val="accent3">
                    <a:shade val="92000"/>
                    <a:shade val="93000"/>
                    <a:satMod val="130000"/>
                  </a:schemeClr>
                </a:gs>
                <a:gs pos="100000">
                  <a:schemeClr val="accent3">
                    <a:shade val="92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Lit>
              <c:ptCount val="5"/>
              <c:pt idx="0">
                <c:v>Year 1</c:v>
              </c:pt>
              <c:pt idx="1">
                <c:v>Year 2</c:v>
              </c:pt>
              <c:pt idx="2">
                <c:v>Year 3</c:v>
              </c:pt>
              <c:pt idx="3">
                <c:v>Year 4</c:v>
              </c:pt>
              <c:pt idx="4">
                <c:v>Year 5</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'EARNINGS ANALYSIS'!$C$52:$H$52</c15:sqref>
                  </c15:fullRef>
                </c:ext>
              </c:extLst>
              <c:f>'EARNINGS ANALYSIS'!$C$52:$G$52</c:f>
              <c:numCache>
                <c:formatCode>"$"#,##0</c:formatCode>
                <c:ptCount val="5"/>
                <c:pt idx="0">
                  <c:v>2840000</c:v>
                </c:pt>
                <c:pt idx="1">
                  <c:v>5680000</c:v>
                </c:pt>
                <c:pt idx="2">
                  <c:v>8804000</c:v>
                </c:pt>
                <c:pt idx="3">
                  <c:v>10784900</c:v>
                </c:pt>
                <c:pt idx="4">
                  <c:v>12941880</c:v>
                </c:pt>
              </c:numCache>
            </c:numRef>
          </c:val>
          <c:extLst xmlns:c15="http://schemas.microsoft.com/office/drawing/2012/chart">
            <c:ext xmlns:c16="http://schemas.microsoft.com/office/drawing/2014/chart" uri="{C3380CC4-5D6E-409C-BE32-E72D297353CC}">
              <c16:uniqueId val="{00000003-A8CC-4FBC-9922-00F2A1322264}"/>
            </c:ext>
          </c:extLst>
        </c:ser>
        <c:dLbls>
          <c:showLegendKey val="0"/>
          <c:showVal val="0"/>
          <c:showCatName val="0"/>
          <c:showSerName val="0"/>
          <c:showPercent val="0"/>
          <c:showBubbleSize val="0"/>
        </c:dLbls>
        <c:gapWidth val="150"/>
        <c:axId val="189320256"/>
        <c:axId val="189320816"/>
        <c:extLst/>
      </c:barChart>
      <c:lineChart>
        <c:grouping val="stacked"/>
        <c:varyColors val="0"/>
        <c:ser>
          <c:idx val="7"/>
          <c:order val="1"/>
          <c:tx>
            <c:strRef>
              <c:f>'EARNINGS ANALYSIS'!$B$56</c:f>
              <c:strCache>
                <c:ptCount val="1"/>
                <c:pt idx="0">
                  <c:v>AGGRESSIVE NET PROFIT (LOSS)</c:v>
                </c:pt>
              </c:strCache>
            </c:strRef>
          </c:tx>
          <c:spPr>
            <a:ln w="34925" cap="rnd">
              <a:solidFill>
                <a:schemeClr val="tx2">
                  <a:lumMod val="60000"/>
                  <a:lumOff val="40000"/>
                </a:schemeClr>
              </a:solidFill>
              <a:round/>
            </a:ln>
            <a:effectLst>
              <a:outerShdw blurRad="40000" dist="23000" dir="5400000" rotWithShape="0">
                <a:srgbClr val="000000">
                  <a:alpha val="35000"/>
                </a:srgbClr>
              </a:outerShdw>
            </a:effectLst>
          </c:spPr>
          <c:marker>
            <c:symbol val="circle"/>
            <c:size val="6"/>
            <c:spPr>
              <a:solidFill>
                <a:schemeClr val="accent6"/>
              </a:solidFill>
              <a:ln w="9525">
                <a:solidFill>
                  <a:schemeClr val="tx2">
                    <a:lumMod val="60000"/>
                    <a:lumOff val="40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extLst>
                <c:ext xmlns:c15="http://schemas.microsoft.com/office/drawing/2012/chart" uri="{02D57815-91ED-43cb-92C2-25804820EDAC}">
                  <c15:fullRef>
                    <c15:sqref>'EARNINGS ANALYSIS'!$C$49:$H$49</c15:sqref>
                  </c15:fullRef>
                </c:ext>
              </c:extLst>
              <c:f>'EARNINGS ANALYSIS'!$C$49:$G$49</c:f>
              <c:strCache>
                <c:ptCount val="5"/>
                <c:pt idx="0">
                  <c:v>Year 1</c:v>
                </c:pt>
                <c:pt idx="1">
                  <c:v>Year 2</c:v>
                </c:pt>
                <c:pt idx="2">
                  <c:v>Year 3</c:v>
                </c:pt>
                <c:pt idx="3">
                  <c:v>Year 4</c:v>
                </c:pt>
                <c:pt idx="4">
                  <c:v>Year 5</c:v>
                </c:pt>
              </c:strCache>
            </c:strRef>
          </c:cat>
          <c:val>
            <c:numRef>
              <c:extLst>
                <c:ext xmlns:c15="http://schemas.microsoft.com/office/drawing/2012/chart" uri="{02D57815-91ED-43cb-92C2-25804820EDAC}">
                  <c15:fullRef>
                    <c15:sqref>'EARNINGS ANALYSIS'!$C$56:$H$56</c15:sqref>
                  </c15:fullRef>
                </c:ext>
              </c:extLst>
              <c:f>'EARNINGS ANALYSIS'!$C$56:$G$56</c:f>
              <c:numCache>
                <c:formatCode>"$"#,##0</c:formatCode>
                <c:ptCount val="5"/>
                <c:pt idx="0">
                  <c:v>372186.79024390224</c:v>
                </c:pt>
                <c:pt idx="1">
                  <c:v>754373.58048780449</c:v>
                </c:pt>
                <c:pt idx="2">
                  <c:v>1174779.0497560967</c:v>
                </c:pt>
                <c:pt idx="3">
                  <c:v>1441354.3359512184</c:v>
                </c:pt>
                <c:pt idx="4">
                  <c:v>1731625.2031414621</c:v>
                </c:pt>
              </c:numCache>
            </c:numRef>
          </c:val>
          <c:smooth val="0"/>
          <c:extLst>
            <c:ext xmlns:c16="http://schemas.microsoft.com/office/drawing/2014/chart" uri="{C3380CC4-5D6E-409C-BE32-E72D297353CC}">
              <c16:uniqueId val="{00000001-D46A-4E7D-802F-47C7EC577176}"/>
            </c:ext>
          </c:extLst>
        </c:ser>
        <c:dLbls>
          <c:showLegendKey val="0"/>
          <c:showVal val="0"/>
          <c:showCatName val="0"/>
          <c:showSerName val="0"/>
          <c:showPercent val="0"/>
          <c:showBubbleSize val="0"/>
        </c:dLbls>
        <c:marker val="1"/>
        <c:smooth val="0"/>
        <c:axId val="189320256"/>
        <c:axId val="189320816"/>
        <c:extLst/>
      </c:lineChart>
      <c:catAx>
        <c:axId val="189320256"/>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20816"/>
        <c:crosses val="autoZero"/>
        <c:auto val="1"/>
        <c:lblAlgn val="ctr"/>
        <c:lblOffset val="100"/>
        <c:noMultiLvlLbl val="0"/>
      </c:catAx>
      <c:valAx>
        <c:axId val="189320816"/>
        <c:scaling>
          <c:orientation val="minMax"/>
          <c:max val="15000000"/>
          <c:min val="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320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5295717" y="177453"/>
    <xdr:ext cx="6259543" cy="4338494"/>
    <xdr:graphicFrame macro="">
      <xdr:nvGraphicFramePr>
        <xdr:cNvPr id="9" name="Breakeven Analysis" descr="Shows breakover point and crossover of total sales and costs, as well as fixed costs per period and net profit." title="Breakeven chart">
          <a:extLst>
            <a:ext uri="{FF2B5EF4-FFF2-40B4-BE49-F238E27FC236}">
              <a16:creationId xmlns:a16="http://schemas.microsoft.com/office/drawing/2014/main" id="{00000000-0008-0000-0000-000009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3</xdr:col>
      <xdr:colOff>472467</xdr:colOff>
      <xdr:row>22</xdr:row>
      <xdr:rowOff>122027</xdr:rowOff>
    </xdr:from>
    <xdr:to>
      <xdr:col>9</xdr:col>
      <xdr:colOff>501041</xdr:colOff>
      <xdr:row>38</xdr:row>
      <xdr:rowOff>95771</xdr:rowOff>
    </xdr:to>
    <xdr:graphicFrame macro="">
      <xdr:nvGraphicFramePr>
        <xdr:cNvPr id="10" name="Variable Cost per Unit" descr="Pie chart showing breakdown of cost per unit." title="Variable cost per unit">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678493</xdr:colOff>
      <xdr:row>22</xdr:row>
      <xdr:rowOff>130058</xdr:rowOff>
    </xdr:from>
    <xdr:to>
      <xdr:col>17</xdr:col>
      <xdr:colOff>146137</xdr:colOff>
      <xdr:row>38</xdr:row>
      <xdr:rowOff>103026</xdr:rowOff>
    </xdr:to>
    <xdr:graphicFrame macro="">
      <xdr:nvGraphicFramePr>
        <xdr:cNvPr id="7" name="Variable Cost per Unit" descr="Pie chart showing breakdown of cost per unit." title="Variable cost per unit">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absoluteAnchor>
    <xdr:pos x="11628328" y="177452"/>
    <xdr:ext cx="6127315" cy="4380247"/>
    <xdr:graphicFrame macro="">
      <xdr:nvGraphicFramePr>
        <xdr:cNvPr id="5" name="Breakeven Analysis" descr="Shows breakover point and crossover of total sales and costs, as well as fixed costs per period and net profit." title="Breakeven chart">
          <a:extLst>
            <a:ext uri="{FF2B5EF4-FFF2-40B4-BE49-F238E27FC236}">
              <a16:creationId xmlns:a16="http://schemas.microsoft.com/office/drawing/2014/main" id="{00000000-0008-0000-00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wsDr>
</file>

<file path=xl/theme/theme1.xml><?xml version="1.0" encoding="utf-8"?>
<a:theme xmlns:a="http://schemas.openxmlformats.org/drawingml/2006/main" name="Office Theme">
  <a:themeElements>
    <a:clrScheme name="Breakeven analysis">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Breakeven analysis">
      <a:majorFont>
        <a:latin typeface="Sylfaen"/>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1:Q64"/>
  <sheetViews>
    <sheetView showGridLines="0" tabSelected="1" view="pageBreakPreview" topLeftCell="A16" zoomScale="73" zoomScaleNormal="73" zoomScaleSheetLayoutView="73" workbookViewId="0">
      <selection activeCell="C14" sqref="C14"/>
    </sheetView>
  </sheetViews>
  <sheetFormatPr defaultColWidth="8.85546875" defaultRowHeight="15" x14ac:dyDescent="0.3"/>
  <cols>
    <col min="1" max="1" width="1.7109375" style="12" customWidth="1"/>
    <col min="2" max="2" width="54.42578125" style="12" customWidth="1"/>
    <col min="3" max="3" width="14" style="12" bestFit="1" customWidth="1"/>
    <col min="4" max="17" width="13.42578125" style="12" customWidth="1"/>
    <col min="18" max="16384" width="8.85546875" style="12"/>
  </cols>
  <sheetData>
    <row r="1" spans="2:9" ht="48" thickBot="1" x14ac:dyDescent="0.35">
      <c r="B1" s="10" t="s">
        <v>64</v>
      </c>
      <c r="C1" s="11"/>
      <c r="D1" s="11"/>
    </row>
    <row r="2" spans="2:9" ht="21.75" thickTop="1" x14ac:dyDescent="0.35">
      <c r="B2" s="13" t="s">
        <v>0</v>
      </c>
      <c r="C2" s="13"/>
    </row>
    <row r="4" spans="2:9" x14ac:dyDescent="0.3">
      <c r="B4" s="14" t="s">
        <v>3</v>
      </c>
    </row>
    <row r="5" spans="2:9" ht="16.5" thickBot="1" x14ac:dyDescent="0.35">
      <c r="B5" s="15" t="s">
        <v>1</v>
      </c>
      <c r="C5" s="16"/>
    </row>
    <row r="6" spans="2:9" ht="16.5" thickTop="1" thickBot="1" x14ac:dyDescent="0.35">
      <c r="B6" s="12" t="s">
        <v>48</v>
      </c>
      <c r="C6" s="17">
        <v>2.0499999999999998</v>
      </c>
      <c r="H6" s="12" t="str">
        <f>B23</f>
        <v>LABOR</v>
      </c>
      <c r="I6" s="18">
        <f>C23</f>
        <v>255600</v>
      </c>
    </row>
    <row r="7" spans="2:9" ht="16.5" thickTop="1" thickBot="1" x14ac:dyDescent="0.35">
      <c r="B7" s="12" t="s">
        <v>12</v>
      </c>
      <c r="C7" s="19">
        <v>2000000</v>
      </c>
      <c r="H7" s="12" t="str">
        <f t="shared" ref="H7:H15" si="0">B24</f>
        <v>RENT</v>
      </c>
      <c r="I7" s="18">
        <f t="shared" ref="I7" si="1">C24</f>
        <v>56800</v>
      </c>
    </row>
    <row r="8" spans="2:9" ht="15.75" thickTop="1" x14ac:dyDescent="0.3">
      <c r="B8" s="12" t="s">
        <v>13</v>
      </c>
      <c r="C8" s="42">
        <f>Sales_volume_units*0.35</f>
        <v>700000</v>
      </c>
      <c r="H8" s="12" t="str">
        <f t="shared" si="0"/>
        <v>UTILITIES</v>
      </c>
      <c r="I8" s="18">
        <f t="shared" ref="I8" si="2">C25</f>
        <v>63900</v>
      </c>
    </row>
    <row r="9" spans="2:9" x14ac:dyDescent="0.3">
      <c r="B9" s="12" t="s">
        <v>14</v>
      </c>
      <c r="C9" s="42">
        <f>0.07*Sales_volume_units</f>
        <v>140000</v>
      </c>
      <c r="H9" s="12" t="str">
        <f t="shared" si="0"/>
        <v>INSURANCE</v>
      </c>
      <c r="I9" s="18">
        <f t="shared" ref="I9" si="3">C26</f>
        <v>8520</v>
      </c>
    </row>
    <row r="10" spans="2:9" x14ac:dyDescent="0.3">
      <c r="B10" s="20" t="s">
        <v>4</v>
      </c>
      <c r="C10" s="43">
        <f>SUM(C7:C9)</f>
        <v>2840000</v>
      </c>
      <c r="H10" s="12" t="str">
        <f t="shared" si="0"/>
        <v>LOAN / LEASE (PRINC &amp; INT)</v>
      </c>
      <c r="I10" s="18">
        <f t="shared" ref="I10" si="4">C27</f>
        <v>10000</v>
      </c>
    </row>
    <row r="11" spans="2:9" x14ac:dyDescent="0.3">
      <c r="C11" s="44"/>
      <c r="H11" s="12" t="str">
        <f t="shared" si="0"/>
        <v>OFFICE SUPPLIES</v>
      </c>
      <c r="I11" s="18">
        <f t="shared" ref="I11" si="5">C28</f>
        <v>3976</v>
      </c>
    </row>
    <row r="12" spans="2:9" ht="16.5" thickBot="1" x14ac:dyDescent="0.35">
      <c r="B12" s="15" t="s">
        <v>15</v>
      </c>
      <c r="C12" s="16"/>
      <c r="H12" s="12" t="str">
        <f t="shared" si="0"/>
        <v>PACKAGING</v>
      </c>
      <c r="I12" s="18">
        <f t="shared" ref="I12" si="6">C29</f>
        <v>19880</v>
      </c>
    </row>
    <row r="13" spans="2:9" ht="16.5" thickTop="1" thickBot="1" x14ac:dyDescent="0.35">
      <c r="B13" s="12" t="s">
        <v>49</v>
      </c>
      <c r="C13" s="17">
        <v>1.6</v>
      </c>
      <c r="H13" s="12" t="str">
        <f t="shared" si="0"/>
        <v>REPAIRS &amp; MAINTENANCE</v>
      </c>
      <c r="I13" s="18">
        <f t="shared" ref="I13" si="7">C30</f>
        <v>19880</v>
      </c>
    </row>
    <row r="14" spans="2:9" ht="15.75" thickTop="1" x14ac:dyDescent="0.3">
      <c r="B14" s="12" t="s">
        <v>16</v>
      </c>
      <c r="C14" s="45">
        <f>(Sales_volume_units/Sales_price_unit)*C13</f>
        <v>1560975.6097560979</v>
      </c>
      <c r="D14" s="21"/>
      <c r="E14" s="12" t="s">
        <v>29</v>
      </c>
      <c r="F14" s="18">
        <f>Sales_volume_units-C14</f>
        <v>439024.3902439021</v>
      </c>
      <c r="H14" s="12" t="str">
        <f t="shared" si="0"/>
        <v>ADVERTISING</v>
      </c>
      <c r="I14" s="18">
        <f t="shared" ref="I14" si="8">C31</f>
        <v>28400</v>
      </c>
    </row>
    <row r="15" spans="2:9" x14ac:dyDescent="0.3">
      <c r="B15" s="12" t="s">
        <v>17</v>
      </c>
      <c r="C15" s="45">
        <f>C8*0.5</f>
        <v>350000</v>
      </c>
      <c r="D15" s="21"/>
      <c r="E15" s="12" t="s">
        <v>30</v>
      </c>
      <c r="F15" s="18">
        <f>C8-C15</f>
        <v>350000</v>
      </c>
      <c r="H15" s="12" t="str">
        <f t="shared" si="0"/>
        <v>INSURANCE</v>
      </c>
      <c r="I15" s="18">
        <f t="shared" ref="I15" si="9">C32</f>
        <v>19880</v>
      </c>
    </row>
    <row r="16" spans="2:9" ht="16.149999999999999" customHeight="1" x14ac:dyDescent="0.3">
      <c r="B16" s="12" t="s">
        <v>18</v>
      </c>
      <c r="C16" s="45">
        <f>C9*0.5</f>
        <v>70000</v>
      </c>
      <c r="D16" s="21"/>
      <c r="E16" s="12" t="s">
        <v>31</v>
      </c>
      <c r="F16" s="18">
        <f>C9-C16</f>
        <v>70000</v>
      </c>
      <c r="H16" s="12" t="s">
        <v>32</v>
      </c>
      <c r="I16" s="18">
        <f>Total_variable</f>
        <v>1980977.209756098</v>
      </c>
    </row>
    <row r="17" spans="1:3" hidden="1" x14ac:dyDescent="0.3">
      <c r="B17" s="22" t="s">
        <v>5</v>
      </c>
      <c r="C17" s="46">
        <f>IF(SUM(Variable_costs_unit),SUM(Variable_costs_unit),0)</f>
        <v>1980977.209756098</v>
      </c>
    </row>
    <row r="18" spans="1:3" ht="16.149999999999999" customHeight="1" thickBot="1" x14ac:dyDescent="0.35">
      <c r="B18" s="23" t="s">
        <v>50</v>
      </c>
      <c r="C18" s="47">
        <f>IF(Variable_Unit_Cost,Variable_Unit_Cost,0)</f>
        <v>1980977.209756098</v>
      </c>
    </row>
    <row r="19" spans="1:3" ht="15.75" thickTop="1" x14ac:dyDescent="0.3">
      <c r="B19" s="22" t="s">
        <v>25</v>
      </c>
      <c r="C19" s="46">
        <f>IF(OR(Total_Sales&lt;&gt;0,Total_variable&lt;&gt;0),Total_Sales-Total_variable,0)</f>
        <v>859022.79024390201</v>
      </c>
    </row>
    <row r="20" spans="1:3" x14ac:dyDescent="0.3">
      <c r="B20" s="22" t="s">
        <v>26</v>
      </c>
      <c r="C20" s="48">
        <f>100%-(Total_variable/Total_Sales)</f>
        <v>0.30247281346616273</v>
      </c>
    </row>
    <row r="21" spans="1:3" x14ac:dyDescent="0.3">
      <c r="C21" s="44"/>
    </row>
    <row r="22" spans="1:3" ht="16.5" thickBot="1" x14ac:dyDescent="0.35">
      <c r="B22" s="15" t="s">
        <v>62</v>
      </c>
      <c r="C22" s="49"/>
    </row>
    <row r="23" spans="1:3" s="24" customFormat="1" x14ac:dyDescent="0.3">
      <c r="B23" s="25" t="s">
        <v>10</v>
      </c>
      <c r="C23" s="61">
        <f>Total_Sales*0.09</f>
        <v>255600</v>
      </c>
    </row>
    <row r="24" spans="1:3" x14ac:dyDescent="0.3">
      <c r="B24" s="12" t="s">
        <v>7</v>
      </c>
      <c r="C24" s="62">
        <f>Total_Sales*0.02</f>
        <v>56800</v>
      </c>
    </row>
    <row r="25" spans="1:3" x14ac:dyDescent="0.3">
      <c r="B25" s="12" t="s">
        <v>11</v>
      </c>
      <c r="C25" s="62">
        <f>Total_Sales*0.0225</f>
        <v>63900</v>
      </c>
    </row>
    <row r="26" spans="1:3" ht="15.75" thickBot="1" x14ac:dyDescent="0.35">
      <c r="A26" s="26"/>
      <c r="B26" s="12" t="s">
        <v>6</v>
      </c>
      <c r="C26" s="62">
        <f>Total_Sales*0.003</f>
        <v>8520</v>
      </c>
    </row>
    <row r="27" spans="1:3" ht="16.5" thickTop="1" thickBot="1" x14ac:dyDescent="0.35">
      <c r="B27" s="12" t="s">
        <v>53</v>
      </c>
      <c r="C27" s="17">
        <v>10000</v>
      </c>
    </row>
    <row r="28" spans="1:3" ht="15.75" thickTop="1" x14ac:dyDescent="0.3">
      <c r="B28" s="12" t="s">
        <v>19</v>
      </c>
      <c r="C28" s="62">
        <f>Total_Sales*0.0014</f>
        <v>3976</v>
      </c>
    </row>
    <row r="29" spans="1:3" x14ac:dyDescent="0.3">
      <c r="B29" s="12" t="s">
        <v>20</v>
      </c>
      <c r="C29" s="62">
        <f>Total_Sales*0.007</f>
        <v>19880</v>
      </c>
    </row>
    <row r="30" spans="1:3" x14ac:dyDescent="0.3">
      <c r="B30" s="12" t="s">
        <v>22</v>
      </c>
      <c r="C30" s="62">
        <f>Total_Sales*0.007</f>
        <v>19880</v>
      </c>
    </row>
    <row r="31" spans="1:3" x14ac:dyDescent="0.3">
      <c r="B31" s="12" t="s">
        <v>21</v>
      </c>
      <c r="C31" s="62">
        <f>Total_Sales*0.01</f>
        <v>28400</v>
      </c>
    </row>
    <row r="32" spans="1:3" x14ac:dyDescent="0.3">
      <c r="B32" s="12" t="s">
        <v>6</v>
      </c>
      <c r="C32" s="62">
        <f>Total_Sales*0.007</f>
        <v>19880</v>
      </c>
    </row>
    <row r="33" spans="1:17" x14ac:dyDescent="0.3">
      <c r="A33" s="27"/>
      <c r="B33" s="28" t="s">
        <v>63</v>
      </c>
      <c r="C33" s="50">
        <f>SUM(C23:C32)</f>
        <v>486836</v>
      </c>
    </row>
    <row r="34" spans="1:17" x14ac:dyDescent="0.3">
      <c r="B34" s="22" t="s">
        <v>8</v>
      </c>
      <c r="C34" s="46">
        <f>Total_Sales-Total_variable-Total_fixed</f>
        <v>372186.79024390201</v>
      </c>
    </row>
    <row r="35" spans="1:17" x14ac:dyDescent="0.3">
      <c r="C35" s="45"/>
    </row>
    <row r="36" spans="1:17" ht="16.5" thickBot="1" x14ac:dyDescent="0.35">
      <c r="B36" s="15" t="s">
        <v>2</v>
      </c>
      <c r="C36" s="51">
        <f>+Total_fixed/Total_Sales</f>
        <v>0.17142112676056337</v>
      </c>
    </row>
    <row r="37" spans="1:17" ht="18" x14ac:dyDescent="0.35">
      <c r="B37" s="30" t="s">
        <v>27</v>
      </c>
      <c r="C37" s="52">
        <f>Total_fixed/C20</f>
        <v>1609519.8587309129</v>
      </c>
    </row>
    <row r="38" spans="1:17" x14ac:dyDescent="0.3">
      <c r="C38" s="44"/>
    </row>
    <row r="39" spans="1:17" ht="21" x14ac:dyDescent="0.35">
      <c r="B39" s="31" t="s">
        <v>9</v>
      </c>
    </row>
    <row r="40" spans="1:17" ht="18" x14ac:dyDescent="0.35">
      <c r="B40" s="32" t="s">
        <v>51</v>
      </c>
      <c r="C40" s="53" t="s">
        <v>33</v>
      </c>
      <c r="D40" s="53" t="s">
        <v>34</v>
      </c>
      <c r="E40" s="53" t="s">
        <v>35</v>
      </c>
      <c r="F40" s="53" t="s">
        <v>36</v>
      </c>
      <c r="G40" s="53" t="s">
        <v>37</v>
      </c>
      <c r="H40" s="53" t="s">
        <v>38</v>
      </c>
      <c r="I40" s="53" t="s">
        <v>39</v>
      </c>
      <c r="J40" s="53" t="s">
        <v>40</v>
      </c>
      <c r="K40" s="53" t="s">
        <v>41</v>
      </c>
      <c r="L40" s="53" t="s">
        <v>42</v>
      </c>
      <c r="M40" s="53" t="s">
        <v>43</v>
      </c>
      <c r="N40" s="53" t="s">
        <v>44</v>
      </c>
      <c r="O40" s="53" t="s">
        <v>45</v>
      </c>
      <c r="P40" s="53" t="s">
        <v>46</v>
      </c>
      <c r="Q40" s="53" t="s">
        <v>47</v>
      </c>
    </row>
    <row r="41" spans="1:17" x14ac:dyDescent="0.3">
      <c r="B41" s="33" t="s">
        <v>28</v>
      </c>
      <c r="C41" s="54">
        <f>+'Growth Scenarios'!B4</f>
        <v>2000000</v>
      </c>
      <c r="D41" s="54">
        <f>+'Growth Scenarios'!C4</f>
        <v>3200000</v>
      </c>
      <c r="E41" s="54">
        <f>+'Growth Scenarios'!D4</f>
        <v>4320000</v>
      </c>
      <c r="F41" s="54">
        <f>+'Growth Scenarios'!E4</f>
        <v>5184000</v>
      </c>
      <c r="G41" s="54">
        <f>+'Growth Scenarios'!F4</f>
        <v>5702400</v>
      </c>
      <c r="H41" s="54">
        <f>+'Growth Scenarios'!G4</f>
        <v>6272640.0000000009</v>
      </c>
      <c r="I41" s="54">
        <f>+'Growth Scenarios'!H4</f>
        <v>6899904.0000000019</v>
      </c>
      <c r="J41" s="54">
        <f>+'Growth Scenarios'!I4</f>
        <v>7589894.4000000022</v>
      </c>
      <c r="K41" s="54">
        <f>+'Growth Scenarios'!J4</f>
        <v>8348883.8400000036</v>
      </c>
      <c r="L41" s="54">
        <f>+'Growth Scenarios'!K4</f>
        <v>9183772.2240000051</v>
      </c>
      <c r="M41" s="54">
        <f>+'Growth Scenarios'!L4</f>
        <v>10102149.446400007</v>
      </c>
      <c r="N41" s="54">
        <f>+'Growth Scenarios'!M4</f>
        <v>11112364.391040009</v>
      </c>
      <c r="O41" s="54">
        <f>+'Growth Scenarios'!N4</f>
        <v>12000000</v>
      </c>
      <c r="P41" s="54">
        <f>+'Growth Scenarios'!O4</f>
        <v>12000000</v>
      </c>
      <c r="Q41" s="54">
        <f>+'Growth Scenarios'!P4</f>
        <v>12000000</v>
      </c>
    </row>
    <row r="42" spans="1:17" x14ac:dyDescent="0.3">
      <c r="B42" s="34" t="s">
        <v>54</v>
      </c>
      <c r="C42" s="55">
        <f>(+C41*0.35)+(C41*0.07)</f>
        <v>840000</v>
      </c>
      <c r="D42" s="55">
        <f t="shared" ref="D42:Q42" si="10">(+D41*0.35)+(D41*0.07)</f>
        <v>1344000</v>
      </c>
      <c r="E42" s="55">
        <f t="shared" si="10"/>
        <v>1814400</v>
      </c>
      <c r="F42" s="55">
        <f t="shared" si="10"/>
        <v>2177280</v>
      </c>
      <c r="G42" s="55">
        <f t="shared" si="10"/>
        <v>2395008</v>
      </c>
      <c r="H42" s="55">
        <f t="shared" si="10"/>
        <v>2634508.8000000003</v>
      </c>
      <c r="I42" s="55">
        <f t="shared" si="10"/>
        <v>2897959.6800000006</v>
      </c>
      <c r="J42" s="55">
        <f t="shared" si="10"/>
        <v>3187755.648000001</v>
      </c>
      <c r="K42" s="55">
        <f t="shared" si="10"/>
        <v>3506531.2128000013</v>
      </c>
      <c r="L42" s="55">
        <f t="shared" si="10"/>
        <v>3857184.3340800023</v>
      </c>
      <c r="M42" s="55">
        <f t="shared" si="10"/>
        <v>4242902.7674880028</v>
      </c>
      <c r="N42" s="55">
        <f t="shared" si="10"/>
        <v>4667193.0442368034</v>
      </c>
      <c r="O42" s="55">
        <f t="shared" si="10"/>
        <v>5040000</v>
      </c>
      <c r="P42" s="55">
        <f t="shared" si="10"/>
        <v>5040000</v>
      </c>
      <c r="Q42" s="55">
        <f t="shared" si="10"/>
        <v>5040000</v>
      </c>
    </row>
    <row r="43" spans="1:17" x14ac:dyDescent="0.3">
      <c r="B43" s="34" t="s">
        <v>59</v>
      </c>
      <c r="C43" s="55">
        <f>+C41+C42</f>
        <v>2840000</v>
      </c>
      <c r="D43" s="55">
        <f t="shared" ref="D43:Q43" si="11">+D41+D42</f>
        <v>4544000</v>
      </c>
      <c r="E43" s="55">
        <f t="shared" si="11"/>
        <v>6134400</v>
      </c>
      <c r="F43" s="55">
        <f t="shared" si="11"/>
        <v>7361280</v>
      </c>
      <c r="G43" s="55">
        <f t="shared" si="11"/>
        <v>8097408</v>
      </c>
      <c r="H43" s="55">
        <f t="shared" si="11"/>
        <v>8907148.8000000007</v>
      </c>
      <c r="I43" s="55">
        <f t="shared" si="11"/>
        <v>9797863.6800000034</v>
      </c>
      <c r="J43" s="55">
        <f t="shared" si="11"/>
        <v>10777650.048000004</v>
      </c>
      <c r="K43" s="55">
        <f t="shared" si="11"/>
        <v>11855415.052800005</v>
      </c>
      <c r="L43" s="55">
        <f t="shared" si="11"/>
        <v>13040956.558080006</v>
      </c>
      <c r="M43" s="55">
        <f t="shared" si="11"/>
        <v>14345052.21388801</v>
      </c>
      <c r="N43" s="55">
        <f t="shared" si="11"/>
        <v>15779557.435276812</v>
      </c>
      <c r="O43" s="55">
        <f t="shared" si="11"/>
        <v>17040000</v>
      </c>
      <c r="P43" s="55">
        <f t="shared" si="11"/>
        <v>17040000</v>
      </c>
      <c r="Q43" s="55">
        <f t="shared" si="11"/>
        <v>17040000</v>
      </c>
    </row>
    <row r="44" spans="1:17" x14ac:dyDescent="0.3">
      <c r="B44" s="35" t="s">
        <v>23</v>
      </c>
      <c r="C44" s="56">
        <f t="shared" ref="C44:Q44" si="12">(C43*((Total_fixed-$C$27)/Total_Sales))+$C$27</f>
        <v>486836</v>
      </c>
      <c r="D44" s="56">
        <f t="shared" si="12"/>
        <v>772937.6</v>
      </c>
      <c r="E44" s="56">
        <f t="shared" si="12"/>
        <v>1039965.76</v>
      </c>
      <c r="F44" s="56">
        <f t="shared" si="12"/>
        <v>1245958.912</v>
      </c>
      <c r="G44" s="56">
        <f t="shared" si="12"/>
        <v>1369554.8032</v>
      </c>
      <c r="H44" s="56">
        <f t="shared" si="12"/>
        <v>1505510.2835200001</v>
      </c>
      <c r="I44" s="56">
        <f t="shared" si="12"/>
        <v>1655061.3118720006</v>
      </c>
      <c r="J44" s="56">
        <f t="shared" si="12"/>
        <v>1819567.4430592007</v>
      </c>
      <c r="K44" s="56">
        <f t="shared" si="12"/>
        <v>2000524.1873651207</v>
      </c>
      <c r="L44" s="56">
        <f t="shared" si="12"/>
        <v>2199576.606101633</v>
      </c>
      <c r="M44" s="56">
        <f t="shared" si="12"/>
        <v>2418534.2667117966</v>
      </c>
      <c r="N44" s="56">
        <f t="shared" si="12"/>
        <v>2659387.6933829766</v>
      </c>
      <c r="O44" s="56">
        <f t="shared" si="12"/>
        <v>2871016</v>
      </c>
      <c r="P44" s="56">
        <f t="shared" si="12"/>
        <v>2871016</v>
      </c>
      <c r="Q44" s="56">
        <f t="shared" si="12"/>
        <v>2871016</v>
      </c>
    </row>
    <row r="45" spans="1:17" x14ac:dyDescent="0.3">
      <c r="B45" s="35" t="s">
        <v>24</v>
      </c>
      <c r="C45" s="56">
        <f>+C43*(1-$C$20)</f>
        <v>1980977.2097560978</v>
      </c>
      <c r="D45" s="56">
        <f t="shared" ref="D45:Q45" si="13">+D43*(1-$C$20)</f>
        <v>3169563.5356097566</v>
      </c>
      <c r="E45" s="56">
        <f t="shared" si="13"/>
        <v>4278910.7730731713</v>
      </c>
      <c r="F45" s="56">
        <f t="shared" si="13"/>
        <v>5134692.9276878061</v>
      </c>
      <c r="G45" s="56">
        <f t="shared" si="13"/>
        <v>5648162.2204565862</v>
      </c>
      <c r="H45" s="56">
        <f t="shared" si="13"/>
        <v>6212978.4425022453</v>
      </c>
      <c r="I45" s="56">
        <f t="shared" si="13"/>
        <v>6834276.2867524717</v>
      </c>
      <c r="J45" s="56">
        <f t="shared" si="13"/>
        <v>7517703.9154277192</v>
      </c>
      <c r="K45" s="56">
        <f t="shared" si="13"/>
        <v>8269474.306970492</v>
      </c>
      <c r="L45" s="56">
        <f t="shared" si="13"/>
        <v>9096421.737667542</v>
      </c>
      <c r="M45" s="56">
        <f t="shared" si="13"/>
        <v>10006063.911434297</v>
      </c>
      <c r="N45" s="56">
        <f t="shared" si="13"/>
        <v>11006670.302577728</v>
      </c>
      <c r="O45" s="56">
        <f t="shared" si="13"/>
        <v>11885863.258536587</v>
      </c>
      <c r="P45" s="56">
        <f t="shared" si="13"/>
        <v>11885863.258536587</v>
      </c>
      <c r="Q45" s="56">
        <f t="shared" si="13"/>
        <v>11885863.258536587</v>
      </c>
    </row>
    <row r="46" spans="1:17" x14ac:dyDescent="0.3">
      <c r="B46" s="36" t="s">
        <v>60</v>
      </c>
      <c r="C46" s="57">
        <f t="shared" ref="C46:M46" si="14">SUM(C44:C45)</f>
        <v>2467813.2097560978</v>
      </c>
      <c r="D46" s="57">
        <f>SUM(D44:D45)</f>
        <v>3942501.1356097567</v>
      </c>
      <c r="E46" s="57">
        <f t="shared" si="14"/>
        <v>5318876.533073171</v>
      </c>
      <c r="F46" s="57">
        <f t="shared" si="14"/>
        <v>6380651.8396878056</v>
      </c>
      <c r="G46" s="57">
        <f t="shared" si="14"/>
        <v>7017717.0236565862</v>
      </c>
      <c r="H46" s="57">
        <f t="shared" si="14"/>
        <v>7718488.7260222454</v>
      </c>
      <c r="I46" s="57">
        <f t="shared" si="14"/>
        <v>8489337.5986244716</v>
      </c>
      <c r="J46" s="57">
        <f t="shared" si="14"/>
        <v>9337271.3584869206</v>
      </c>
      <c r="K46" s="57">
        <f t="shared" si="14"/>
        <v>10269998.494335612</v>
      </c>
      <c r="L46" s="57">
        <f t="shared" si="14"/>
        <v>11295998.343769174</v>
      </c>
      <c r="M46" s="57">
        <f t="shared" si="14"/>
        <v>12424598.178146094</v>
      </c>
      <c r="N46" s="57">
        <f t="shared" ref="N46:Q46" si="15">SUM(N44:N45)</f>
        <v>13666057.995960705</v>
      </c>
      <c r="O46" s="57">
        <f t="shared" si="15"/>
        <v>14756879.258536587</v>
      </c>
      <c r="P46" s="57">
        <f t="shared" si="15"/>
        <v>14756879.258536587</v>
      </c>
      <c r="Q46" s="57">
        <f t="shared" si="15"/>
        <v>14756879.258536587</v>
      </c>
    </row>
    <row r="47" spans="1:17" ht="15.75" thickBot="1" x14ac:dyDescent="0.35">
      <c r="B47" s="37" t="s">
        <v>56</v>
      </c>
      <c r="C47" s="58">
        <f>+C43-C46</f>
        <v>372186.79024390224</v>
      </c>
      <c r="D47" s="58">
        <f t="shared" ref="D47:Q47" si="16">+D43-D46</f>
        <v>601498.86439024331</v>
      </c>
      <c r="E47" s="58">
        <f t="shared" si="16"/>
        <v>815523.46692682896</v>
      </c>
      <c r="F47" s="58">
        <f t="shared" si="16"/>
        <v>980628.16031219438</v>
      </c>
      <c r="G47" s="58">
        <f t="shared" si="16"/>
        <v>1079690.9763434138</v>
      </c>
      <c r="H47" s="58">
        <f t="shared" si="16"/>
        <v>1188660.0739777554</v>
      </c>
      <c r="I47" s="58">
        <f t="shared" si="16"/>
        <v>1308526.0813755319</v>
      </c>
      <c r="J47" s="58">
        <f t="shared" si="16"/>
        <v>1440378.6895130835</v>
      </c>
      <c r="K47" s="58">
        <f t="shared" si="16"/>
        <v>1585416.558464393</v>
      </c>
      <c r="L47" s="58">
        <f t="shared" si="16"/>
        <v>1744958.2143108323</v>
      </c>
      <c r="M47" s="58">
        <f t="shared" si="16"/>
        <v>1920454.0357419159</v>
      </c>
      <c r="N47" s="58">
        <f t="shared" si="16"/>
        <v>2113499.439316107</v>
      </c>
      <c r="O47" s="58">
        <f t="shared" si="16"/>
        <v>2283120.7414634135</v>
      </c>
      <c r="P47" s="58">
        <f t="shared" si="16"/>
        <v>2283120.7414634135</v>
      </c>
      <c r="Q47" s="58">
        <f t="shared" si="16"/>
        <v>2283120.7414634135</v>
      </c>
    </row>
    <row r="48" spans="1:17" s="40" customFormat="1" ht="15.75" thickTop="1" x14ac:dyDescent="0.3">
      <c r="A48" s="29"/>
      <c r="B48" s="38"/>
      <c r="C48" s="59"/>
      <c r="D48" s="60"/>
      <c r="E48" s="60"/>
      <c r="F48" s="60"/>
      <c r="G48" s="60"/>
      <c r="H48" s="60"/>
      <c r="I48" s="60"/>
      <c r="J48" s="60"/>
      <c r="K48" s="60"/>
      <c r="L48" s="60"/>
      <c r="M48" s="60"/>
      <c r="N48" s="60"/>
      <c r="O48" s="60"/>
      <c r="P48" s="60"/>
      <c r="Q48" s="60"/>
    </row>
    <row r="49" spans="1:17" ht="18" x14ac:dyDescent="0.35">
      <c r="B49" s="32" t="s">
        <v>52</v>
      </c>
      <c r="C49" s="53" t="s">
        <v>33</v>
      </c>
      <c r="D49" s="53" t="s">
        <v>34</v>
      </c>
      <c r="E49" s="53" t="s">
        <v>35</v>
      </c>
      <c r="F49" s="53" t="s">
        <v>36</v>
      </c>
      <c r="G49" s="53" t="s">
        <v>37</v>
      </c>
      <c r="H49" s="53" t="s">
        <v>38</v>
      </c>
      <c r="I49" s="53" t="s">
        <v>39</v>
      </c>
      <c r="J49" s="53" t="s">
        <v>40</v>
      </c>
      <c r="K49" s="53" t="s">
        <v>41</v>
      </c>
      <c r="L49" s="53" t="s">
        <v>42</v>
      </c>
      <c r="M49" s="53" t="s">
        <v>43</v>
      </c>
      <c r="N49" s="53" t="s">
        <v>44</v>
      </c>
      <c r="O49" s="53" t="s">
        <v>45</v>
      </c>
      <c r="P49" s="53" t="s">
        <v>46</v>
      </c>
      <c r="Q49" s="53" t="s">
        <v>47</v>
      </c>
    </row>
    <row r="50" spans="1:17" x14ac:dyDescent="0.3">
      <c r="B50" s="33" t="s">
        <v>28</v>
      </c>
      <c r="C50" s="54">
        <f>+'Growth Scenarios'!B8</f>
        <v>2000000</v>
      </c>
      <c r="D50" s="54">
        <f>+'Growth Scenarios'!C8</f>
        <v>4000000</v>
      </c>
      <c r="E50" s="54">
        <f>+'Growth Scenarios'!D8</f>
        <v>6200000</v>
      </c>
      <c r="F50" s="54">
        <f>+'Growth Scenarios'!E8</f>
        <v>7595000.0000000009</v>
      </c>
      <c r="G50" s="54">
        <f>+'Growth Scenarios'!F8</f>
        <v>9114000</v>
      </c>
      <c r="H50" s="54">
        <f>+'Growth Scenarios'!G8</f>
        <v>10025400</v>
      </c>
      <c r="I50" s="54">
        <f>+'Growth Scenarios'!H8</f>
        <v>11027940</v>
      </c>
      <c r="J50" s="54">
        <f>+'Growth Scenarios'!I8</f>
        <v>12000000</v>
      </c>
      <c r="K50" s="54">
        <f>+'Growth Scenarios'!J8</f>
        <v>12000000</v>
      </c>
      <c r="L50" s="54">
        <f>+'Growth Scenarios'!K8</f>
        <v>12000000</v>
      </c>
      <c r="M50" s="54">
        <f>+'Growth Scenarios'!L8</f>
        <v>12000000</v>
      </c>
      <c r="N50" s="54">
        <f>+'Growth Scenarios'!M8</f>
        <v>12000000</v>
      </c>
      <c r="O50" s="54">
        <f>+'Growth Scenarios'!N8</f>
        <v>12000000</v>
      </c>
      <c r="P50" s="54">
        <f>+'Growth Scenarios'!O8</f>
        <v>12000000</v>
      </c>
      <c r="Q50" s="54">
        <f>+'Growth Scenarios'!P8</f>
        <v>12000000</v>
      </c>
    </row>
    <row r="51" spans="1:17" x14ac:dyDescent="0.3">
      <c r="B51" s="34" t="s">
        <v>54</v>
      </c>
      <c r="C51" s="55">
        <f>(+C50*0.35)+(C50*0.07)</f>
        <v>840000</v>
      </c>
      <c r="D51" s="55">
        <f t="shared" ref="D51" si="17">(+D50*0.35)+(D50*0.07)</f>
        <v>1680000</v>
      </c>
      <c r="E51" s="55">
        <f t="shared" ref="E51" si="18">(+E50*0.35)+(E50*0.07)</f>
        <v>2604000</v>
      </c>
      <c r="F51" s="55">
        <f t="shared" ref="F51" si="19">(+F50*0.35)+(F50*0.07)</f>
        <v>3189900</v>
      </c>
      <c r="G51" s="55">
        <f t="shared" ref="G51" si="20">(+G50*0.35)+(G50*0.07)</f>
        <v>3827880</v>
      </c>
      <c r="H51" s="55">
        <f t="shared" ref="H51" si="21">(+H50*0.35)+(H50*0.07)</f>
        <v>4210668</v>
      </c>
      <c r="I51" s="55">
        <f t="shared" ref="I51" si="22">(+I50*0.35)+(I50*0.07)</f>
        <v>4631734.8</v>
      </c>
      <c r="J51" s="55">
        <f t="shared" ref="J51" si="23">(+J50*0.35)+(J50*0.07)</f>
        <v>5040000</v>
      </c>
      <c r="K51" s="55">
        <f t="shared" ref="K51" si="24">(+K50*0.35)+(K50*0.07)</f>
        <v>5040000</v>
      </c>
      <c r="L51" s="55">
        <f t="shared" ref="L51" si="25">(+L50*0.35)+(L50*0.07)</f>
        <v>5040000</v>
      </c>
      <c r="M51" s="55">
        <f t="shared" ref="M51" si="26">(+M50*0.35)+(M50*0.07)</f>
        <v>5040000</v>
      </c>
      <c r="N51" s="55">
        <f t="shared" ref="N51" si="27">(+N50*0.35)+(N50*0.07)</f>
        <v>5040000</v>
      </c>
      <c r="O51" s="55">
        <f t="shared" ref="O51" si="28">(+O50*0.35)+(O50*0.07)</f>
        <v>5040000</v>
      </c>
      <c r="P51" s="55">
        <f t="shared" ref="P51" si="29">(+P50*0.35)+(P50*0.07)</f>
        <v>5040000</v>
      </c>
      <c r="Q51" s="55">
        <f t="shared" ref="Q51" si="30">(+Q50*0.35)+(Q50*0.07)</f>
        <v>5040000</v>
      </c>
    </row>
    <row r="52" spans="1:17" x14ac:dyDescent="0.3">
      <c r="B52" s="34" t="s">
        <v>58</v>
      </c>
      <c r="C52" s="55">
        <f>+C50+C51</f>
        <v>2840000</v>
      </c>
      <c r="D52" s="55">
        <f t="shared" ref="D52" si="31">+D50+D51</f>
        <v>5680000</v>
      </c>
      <c r="E52" s="55">
        <f t="shared" ref="E52" si="32">+E50+E51</f>
        <v>8804000</v>
      </c>
      <c r="F52" s="55">
        <f t="shared" ref="F52" si="33">+F50+F51</f>
        <v>10784900</v>
      </c>
      <c r="G52" s="55">
        <f t="shared" ref="G52" si="34">+G50+G51</f>
        <v>12941880</v>
      </c>
      <c r="H52" s="55">
        <f t="shared" ref="H52" si="35">+H50+H51</f>
        <v>14236068</v>
      </c>
      <c r="I52" s="55">
        <f t="shared" ref="I52" si="36">+I50+I51</f>
        <v>15659674.800000001</v>
      </c>
      <c r="J52" s="55">
        <f t="shared" ref="J52" si="37">+J50+J51</f>
        <v>17040000</v>
      </c>
      <c r="K52" s="55">
        <f t="shared" ref="K52" si="38">+K50+K51</f>
        <v>17040000</v>
      </c>
      <c r="L52" s="55">
        <f t="shared" ref="L52" si="39">+L50+L51</f>
        <v>17040000</v>
      </c>
      <c r="M52" s="55">
        <f t="shared" ref="M52" si="40">+M50+M51</f>
        <v>17040000</v>
      </c>
      <c r="N52" s="55">
        <f t="shared" ref="N52" si="41">+N50+N51</f>
        <v>17040000</v>
      </c>
      <c r="O52" s="55">
        <f t="shared" ref="O52" si="42">+O50+O51</f>
        <v>17040000</v>
      </c>
      <c r="P52" s="55">
        <f t="shared" ref="P52" si="43">+P50+P51</f>
        <v>17040000</v>
      </c>
      <c r="Q52" s="55">
        <f t="shared" ref="Q52" si="44">+Q50+Q51</f>
        <v>17040000</v>
      </c>
    </row>
    <row r="53" spans="1:17" x14ac:dyDescent="0.3">
      <c r="B53" s="35" t="s">
        <v>23</v>
      </c>
      <c r="C53" s="56">
        <f t="shared" ref="C53:Q53" si="45">(C52*((Total_fixed-$C$27)/Total_Sales))+$C$27</f>
        <v>486836</v>
      </c>
      <c r="D53" s="56">
        <f t="shared" si="45"/>
        <v>963672</v>
      </c>
      <c r="E53" s="56">
        <f t="shared" si="45"/>
        <v>1488191.5999999999</v>
      </c>
      <c r="F53" s="56">
        <f t="shared" si="45"/>
        <v>1820784.71</v>
      </c>
      <c r="G53" s="56">
        <f t="shared" si="45"/>
        <v>2182941.6519999998</v>
      </c>
      <c r="H53" s="56">
        <f t="shared" si="45"/>
        <v>2400235.8171999999</v>
      </c>
      <c r="I53" s="56">
        <f t="shared" si="45"/>
        <v>2639259.3989200001</v>
      </c>
      <c r="J53" s="56">
        <f t="shared" si="45"/>
        <v>2871016</v>
      </c>
      <c r="K53" s="56">
        <f t="shared" si="45"/>
        <v>2871016</v>
      </c>
      <c r="L53" s="56">
        <f t="shared" si="45"/>
        <v>2871016</v>
      </c>
      <c r="M53" s="56">
        <f t="shared" si="45"/>
        <v>2871016</v>
      </c>
      <c r="N53" s="56">
        <f t="shared" si="45"/>
        <v>2871016</v>
      </c>
      <c r="O53" s="56">
        <f t="shared" si="45"/>
        <v>2871016</v>
      </c>
      <c r="P53" s="56">
        <f t="shared" si="45"/>
        <v>2871016</v>
      </c>
      <c r="Q53" s="56">
        <f t="shared" si="45"/>
        <v>2871016</v>
      </c>
    </row>
    <row r="54" spans="1:17" x14ac:dyDescent="0.3">
      <c r="B54" s="35" t="s">
        <v>24</v>
      </c>
      <c r="C54" s="56">
        <f>+C52*(1-$C$20)</f>
        <v>1980977.2097560978</v>
      </c>
      <c r="D54" s="56">
        <f t="shared" ref="D54:Q54" si="46">+D52*(1-$C$20)</f>
        <v>3961954.4195121955</v>
      </c>
      <c r="E54" s="56">
        <f t="shared" si="46"/>
        <v>6141029.3502439037</v>
      </c>
      <c r="F54" s="56">
        <f t="shared" si="46"/>
        <v>7522760.9540487817</v>
      </c>
      <c r="G54" s="56">
        <f t="shared" si="46"/>
        <v>9027313.1448585372</v>
      </c>
      <c r="H54" s="56">
        <f t="shared" si="46"/>
        <v>9930044.4593443926</v>
      </c>
      <c r="I54" s="56">
        <f t="shared" si="46"/>
        <v>10923048.905278832</v>
      </c>
      <c r="J54" s="56">
        <f t="shared" si="46"/>
        <v>11885863.258536587</v>
      </c>
      <c r="K54" s="56">
        <f t="shared" si="46"/>
        <v>11885863.258536587</v>
      </c>
      <c r="L54" s="56">
        <f t="shared" si="46"/>
        <v>11885863.258536587</v>
      </c>
      <c r="M54" s="56">
        <f t="shared" si="46"/>
        <v>11885863.258536587</v>
      </c>
      <c r="N54" s="56">
        <f t="shared" si="46"/>
        <v>11885863.258536587</v>
      </c>
      <c r="O54" s="56">
        <f t="shared" si="46"/>
        <v>11885863.258536587</v>
      </c>
      <c r="P54" s="56">
        <f t="shared" si="46"/>
        <v>11885863.258536587</v>
      </c>
      <c r="Q54" s="56">
        <f t="shared" si="46"/>
        <v>11885863.258536587</v>
      </c>
    </row>
    <row r="55" spans="1:17" x14ac:dyDescent="0.3">
      <c r="B55" s="35" t="s">
        <v>61</v>
      </c>
      <c r="C55" s="56">
        <f t="shared" ref="C55" si="47">SUM(C53:C54)</f>
        <v>2467813.2097560978</v>
      </c>
      <c r="D55" s="56">
        <f>SUM(D53:D54)</f>
        <v>4925626.4195121955</v>
      </c>
      <c r="E55" s="56">
        <f t="shared" ref="E55:Q55" si="48">SUM(E53:E54)</f>
        <v>7629220.9502439033</v>
      </c>
      <c r="F55" s="56">
        <f t="shared" si="48"/>
        <v>9343545.6640487816</v>
      </c>
      <c r="G55" s="56">
        <f t="shared" si="48"/>
        <v>11210254.796858538</v>
      </c>
      <c r="H55" s="56">
        <f t="shared" si="48"/>
        <v>12330280.276544392</v>
      </c>
      <c r="I55" s="56">
        <f t="shared" si="48"/>
        <v>13562308.304198831</v>
      </c>
      <c r="J55" s="56">
        <f t="shared" si="48"/>
        <v>14756879.258536587</v>
      </c>
      <c r="K55" s="56">
        <f t="shared" si="48"/>
        <v>14756879.258536587</v>
      </c>
      <c r="L55" s="56">
        <f t="shared" si="48"/>
        <v>14756879.258536587</v>
      </c>
      <c r="M55" s="56">
        <f t="shared" si="48"/>
        <v>14756879.258536587</v>
      </c>
      <c r="N55" s="56">
        <f t="shared" si="48"/>
        <v>14756879.258536587</v>
      </c>
      <c r="O55" s="56">
        <f t="shared" si="48"/>
        <v>14756879.258536587</v>
      </c>
      <c r="P55" s="56">
        <f t="shared" si="48"/>
        <v>14756879.258536587</v>
      </c>
      <c r="Q55" s="56">
        <f t="shared" si="48"/>
        <v>14756879.258536587</v>
      </c>
    </row>
    <row r="56" spans="1:17" ht="15.75" thickBot="1" x14ac:dyDescent="0.35">
      <c r="B56" s="37" t="s">
        <v>57</v>
      </c>
      <c r="C56" s="58">
        <f>+C52-C55</f>
        <v>372186.79024390224</v>
      </c>
      <c r="D56" s="58">
        <f t="shared" ref="D56:Q56" si="49">+D52-D55</f>
        <v>754373.58048780449</v>
      </c>
      <c r="E56" s="58">
        <f t="shared" si="49"/>
        <v>1174779.0497560967</v>
      </c>
      <c r="F56" s="58">
        <f t="shared" si="49"/>
        <v>1441354.3359512184</v>
      </c>
      <c r="G56" s="58">
        <f t="shared" si="49"/>
        <v>1731625.2031414621</v>
      </c>
      <c r="H56" s="58">
        <f t="shared" si="49"/>
        <v>1905787.7234556079</v>
      </c>
      <c r="I56" s="58">
        <f t="shared" si="49"/>
        <v>2097366.4958011694</v>
      </c>
      <c r="J56" s="58">
        <f t="shared" si="49"/>
        <v>2283120.7414634135</v>
      </c>
      <c r="K56" s="58">
        <f t="shared" si="49"/>
        <v>2283120.7414634135</v>
      </c>
      <c r="L56" s="58">
        <f t="shared" si="49"/>
        <v>2283120.7414634135</v>
      </c>
      <c r="M56" s="58">
        <f t="shared" si="49"/>
        <v>2283120.7414634135</v>
      </c>
      <c r="N56" s="58">
        <f t="shared" si="49"/>
        <v>2283120.7414634135</v>
      </c>
      <c r="O56" s="58">
        <f t="shared" si="49"/>
        <v>2283120.7414634135</v>
      </c>
      <c r="P56" s="58">
        <f t="shared" si="49"/>
        <v>2283120.7414634135</v>
      </c>
      <c r="Q56" s="58">
        <f t="shared" si="49"/>
        <v>2283120.7414634135</v>
      </c>
    </row>
    <row r="57" spans="1:17" ht="15.75" thickTop="1" x14ac:dyDescent="0.3">
      <c r="A57" s="39"/>
      <c r="B57" s="38"/>
      <c r="C57" s="39"/>
      <c r="D57" s="39"/>
      <c r="E57" s="39"/>
      <c r="F57" s="39"/>
      <c r="G57" s="39"/>
      <c r="H57" s="39"/>
      <c r="I57" s="39"/>
      <c r="J57" s="39"/>
      <c r="K57" s="39"/>
      <c r="L57" s="39"/>
      <c r="M57" s="39"/>
      <c r="N57" s="39"/>
      <c r="O57" s="39"/>
      <c r="P57" s="39"/>
      <c r="Q57" s="39"/>
    </row>
    <row r="58" spans="1:17" x14ac:dyDescent="0.3">
      <c r="B58" s="66" t="s">
        <v>67</v>
      </c>
      <c r="C58" s="66"/>
      <c r="D58" s="66"/>
      <c r="E58" s="66"/>
      <c r="F58" s="66"/>
      <c r="G58" s="66"/>
      <c r="H58" s="66"/>
      <c r="I58" s="66"/>
      <c r="J58" s="66"/>
      <c r="K58" s="66"/>
      <c r="L58" s="66"/>
      <c r="M58" s="66"/>
      <c r="N58" s="66"/>
      <c r="O58" s="66"/>
      <c r="P58" s="66"/>
      <c r="Q58" s="66"/>
    </row>
    <row r="62" spans="1:17" x14ac:dyDescent="0.3">
      <c r="E62" s="41"/>
    </row>
    <row r="63" spans="1:17" x14ac:dyDescent="0.3">
      <c r="H63" s="18"/>
    </row>
    <row r="64" spans="1:17" x14ac:dyDescent="0.3">
      <c r="H64" s="18"/>
    </row>
  </sheetData>
  <sheetProtection algorithmName="SHA-512" hashValue="8vmGHmcVZxldo0t6ptNaFesxMSqNpYMbozfpbq0hvPn2OwQxl1GYokCafXeVfV3Dz3hWtSsnSPUQgozauKAAMA==" saltValue="xWPXpOtyuG99FqDS3gHWPQ==" spinCount="100000" sheet="1" objects="1" scenarios="1"/>
  <mergeCells count="1">
    <mergeCell ref="B58:Q58"/>
  </mergeCells>
  <printOptions horizontalCentered="1" verticalCentered="1"/>
  <pageMargins left="0.3" right="0.3" top="0.4" bottom="0.4" header="0.3" footer="0.3"/>
  <pageSetup scale="53" orientation="landscape" r:id="rId1"/>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0"/>
  </sheetPr>
  <dimension ref="A1:P37"/>
  <sheetViews>
    <sheetView workbookViewId="0">
      <selection activeCell="B4" sqref="B4"/>
    </sheetView>
  </sheetViews>
  <sheetFormatPr defaultRowHeight="15" x14ac:dyDescent="0.3"/>
  <cols>
    <col min="1" max="1" width="11.7109375" bestFit="1" customWidth="1"/>
    <col min="2" max="2" width="11" bestFit="1" customWidth="1"/>
    <col min="3" max="5" width="10.28515625" bestFit="1" customWidth="1"/>
    <col min="6" max="16" width="11.28515625" bestFit="1" customWidth="1"/>
  </cols>
  <sheetData>
    <row r="1" spans="1:16" x14ac:dyDescent="0.3">
      <c r="A1" s="8" t="s">
        <v>66</v>
      </c>
      <c r="B1" s="9" t="s">
        <v>33</v>
      </c>
      <c r="C1" s="9" t="s">
        <v>34</v>
      </c>
      <c r="D1" s="9" t="s">
        <v>35</v>
      </c>
      <c r="E1" s="9" t="s">
        <v>36</v>
      </c>
      <c r="F1" s="9" t="s">
        <v>37</v>
      </c>
      <c r="G1" s="9" t="s">
        <v>38</v>
      </c>
      <c r="H1" s="9" t="s">
        <v>39</v>
      </c>
      <c r="I1" s="9" t="s">
        <v>40</v>
      </c>
      <c r="J1" s="9" t="s">
        <v>41</v>
      </c>
      <c r="K1" s="9" t="s">
        <v>42</v>
      </c>
      <c r="L1" s="9" t="s">
        <v>43</v>
      </c>
      <c r="M1" s="9" t="s">
        <v>44</v>
      </c>
      <c r="N1" s="9" t="s">
        <v>45</v>
      </c>
      <c r="O1" s="9" t="s">
        <v>46</v>
      </c>
      <c r="P1" s="9" t="s">
        <v>47</v>
      </c>
    </row>
    <row r="2" spans="1:16" ht="15.75" thickBot="1" x14ac:dyDescent="0.35">
      <c r="A2" s="5" t="s">
        <v>51</v>
      </c>
      <c r="B2" s="7"/>
      <c r="C2" s="7"/>
      <c r="D2" s="7"/>
      <c r="E2" s="7"/>
      <c r="F2" s="7"/>
      <c r="G2" s="7"/>
      <c r="H2" s="7"/>
      <c r="I2" s="7"/>
      <c r="J2" s="7"/>
      <c r="K2" s="7"/>
      <c r="L2" s="7"/>
      <c r="M2" s="7"/>
      <c r="N2" s="7"/>
      <c r="O2" s="7"/>
      <c r="P2" s="7"/>
    </row>
    <row r="3" spans="1:16" x14ac:dyDescent="0.3">
      <c r="A3" t="s">
        <v>55</v>
      </c>
      <c r="B3" s="63">
        <v>1</v>
      </c>
      <c r="C3" s="1">
        <v>0.6</v>
      </c>
      <c r="D3" s="1">
        <v>0.35</v>
      </c>
      <c r="E3" s="1">
        <v>0.2</v>
      </c>
      <c r="F3" s="1">
        <v>0.1</v>
      </c>
      <c r="G3" s="1">
        <v>0.1</v>
      </c>
      <c r="H3" s="1">
        <v>0.1</v>
      </c>
      <c r="I3" s="1">
        <v>0.1</v>
      </c>
      <c r="J3" s="1">
        <v>0.1</v>
      </c>
      <c r="K3" s="1">
        <v>0.1</v>
      </c>
      <c r="L3" s="1">
        <v>0.1</v>
      </c>
      <c r="M3" s="1">
        <v>0.1</v>
      </c>
      <c r="N3" s="1">
        <v>0.1</v>
      </c>
      <c r="O3" s="1">
        <v>0.1</v>
      </c>
      <c r="P3" s="1">
        <v>0.1</v>
      </c>
    </row>
    <row r="4" spans="1:16" x14ac:dyDescent="0.3">
      <c r="B4" s="2">
        <f>+Sales_volume_units*B3</f>
        <v>2000000</v>
      </c>
      <c r="C4" s="2">
        <f>IF((+B4*(1+C3)&gt;12000000),12000000,(+B4*(1+C3)))</f>
        <v>3200000</v>
      </c>
      <c r="D4" s="2">
        <f t="shared" ref="D4:P4" si="0">IF((+C4*(1+D3)&gt;12000000),12000000,(+C4*(1+D3)))</f>
        <v>4320000</v>
      </c>
      <c r="E4" s="2">
        <f t="shared" si="0"/>
        <v>5184000</v>
      </c>
      <c r="F4" s="2">
        <f t="shared" si="0"/>
        <v>5702400</v>
      </c>
      <c r="G4" s="2">
        <f t="shared" si="0"/>
        <v>6272640.0000000009</v>
      </c>
      <c r="H4" s="2">
        <f t="shared" si="0"/>
        <v>6899904.0000000019</v>
      </c>
      <c r="I4" s="2">
        <f t="shared" si="0"/>
        <v>7589894.4000000022</v>
      </c>
      <c r="J4" s="2">
        <f t="shared" si="0"/>
        <v>8348883.8400000036</v>
      </c>
      <c r="K4" s="2">
        <f t="shared" si="0"/>
        <v>9183772.2240000051</v>
      </c>
      <c r="L4" s="2">
        <f t="shared" si="0"/>
        <v>10102149.446400007</v>
      </c>
      <c r="M4" s="2">
        <f t="shared" si="0"/>
        <v>11112364.391040009</v>
      </c>
      <c r="N4" s="2">
        <f t="shared" si="0"/>
        <v>12000000</v>
      </c>
      <c r="O4" s="2">
        <f t="shared" si="0"/>
        <v>12000000</v>
      </c>
      <c r="P4" s="2">
        <f t="shared" si="0"/>
        <v>12000000</v>
      </c>
    </row>
    <row r="5" spans="1:16" x14ac:dyDescent="0.3">
      <c r="A5" s="1"/>
      <c r="B5" s="2"/>
    </row>
    <row r="6" spans="1:16" ht="15.75" thickBot="1" x14ac:dyDescent="0.35">
      <c r="A6" s="5" t="s">
        <v>52</v>
      </c>
      <c r="B6" s="6"/>
      <c r="C6" s="5"/>
      <c r="D6" s="5"/>
      <c r="E6" s="5"/>
      <c r="F6" s="5"/>
      <c r="G6" s="5"/>
      <c r="H6" s="5"/>
      <c r="I6" s="5"/>
      <c r="J6" s="5"/>
      <c r="K6" s="5"/>
      <c r="L6" s="5"/>
      <c r="M6" s="5"/>
      <c r="N6" s="5"/>
      <c r="O6" s="5"/>
      <c r="P6" s="5"/>
    </row>
    <row r="7" spans="1:16" x14ac:dyDescent="0.3">
      <c r="A7" t="s">
        <v>55</v>
      </c>
      <c r="B7" s="63">
        <v>1</v>
      </c>
      <c r="C7" s="1">
        <v>1</v>
      </c>
      <c r="D7" s="1">
        <v>0.55000000000000004</v>
      </c>
      <c r="E7" s="1">
        <v>0.22500000000000001</v>
      </c>
      <c r="F7" s="1">
        <v>0.2</v>
      </c>
      <c r="G7" s="1">
        <v>0.1</v>
      </c>
      <c r="H7" s="1">
        <v>0.1</v>
      </c>
      <c r="I7" s="1">
        <v>0.1</v>
      </c>
      <c r="J7" s="1">
        <v>0.1</v>
      </c>
      <c r="K7" s="1">
        <v>0.1</v>
      </c>
      <c r="L7" s="1">
        <v>0.1</v>
      </c>
      <c r="M7" s="1">
        <v>0.1</v>
      </c>
      <c r="N7" s="1">
        <v>0.1</v>
      </c>
      <c r="O7" s="1">
        <v>0.1</v>
      </c>
      <c r="P7" s="1">
        <v>0.1</v>
      </c>
    </row>
    <row r="8" spans="1:16" x14ac:dyDescent="0.3">
      <c r="A8" s="1"/>
      <c r="B8" s="2">
        <f>+Sales_volume_units*B7</f>
        <v>2000000</v>
      </c>
      <c r="C8" s="2">
        <f t="shared" ref="C8:H8" si="1">IF((+B8*(1+C7)&gt;12000000),12000000,(+B8*(1+C7)))</f>
        <v>4000000</v>
      </c>
      <c r="D8" s="2">
        <f t="shared" si="1"/>
        <v>6200000</v>
      </c>
      <c r="E8" s="2">
        <f t="shared" si="1"/>
        <v>7595000.0000000009</v>
      </c>
      <c r="F8" s="2">
        <f t="shared" si="1"/>
        <v>9114000</v>
      </c>
      <c r="G8" s="2">
        <f t="shared" si="1"/>
        <v>10025400</v>
      </c>
      <c r="H8" s="2">
        <f t="shared" si="1"/>
        <v>11027940</v>
      </c>
      <c r="I8" s="2">
        <f>IF((+H8*(1+I7)&gt;12000000),12000000,(+H8*(1+I7)))</f>
        <v>12000000</v>
      </c>
      <c r="J8" s="2">
        <f t="shared" ref="J8:P8" si="2">IF((+I8*(1+J7)&gt;12000000),12000000,(+I8*(1+J7)))</f>
        <v>12000000</v>
      </c>
      <c r="K8" s="2">
        <f t="shared" si="2"/>
        <v>12000000</v>
      </c>
      <c r="L8" s="2">
        <f t="shared" si="2"/>
        <v>12000000</v>
      </c>
      <c r="M8" s="2">
        <f t="shared" si="2"/>
        <v>12000000</v>
      </c>
      <c r="N8" s="2">
        <f t="shared" si="2"/>
        <v>12000000</v>
      </c>
      <c r="O8" s="2">
        <f t="shared" si="2"/>
        <v>12000000</v>
      </c>
      <c r="P8" s="2">
        <f t="shared" si="2"/>
        <v>12000000</v>
      </c>
    </row>
    <row r="9" spans="1:16" x14ac:dyDescent="0.3">
      <c r="A9" s="1"/>
      <c r="B9" s="2"/>
    </row>
    <row r="10" spans="1:16" x14ac:dyDescent="0.3">
      <c r="A10" s="1"/>
      <c r="B10" s="2"/>
    </row>
    <row r="11" spans="1:16" x14ac:dyDescent="0.3">
      <c r="A11" s="4"/>
      <c r="B11" s="64" t="s">
        <v>65</v>
      </c>
      <c r="C11" s="65"/>
      <c r="D11" s="65"/>
      <c r="E11" s="65"/>
      <c r="F11" s="65"/>
      <c r="G11" s="65"/>
      <c r="H11" s="65"/>
      <c r="I11" s="65"/>
      <c r="J11" s="65"/>
      <c r="K11" s="65"/>
    </row>
    <row r="12" spans="1:16" x14ac:dyDescent="0.3">
      <c r="A12" s="1"/>
      <c r="B12" s="2"/>
    </row>
    <row r="13" spans="1:16" x14ac:dyDescent="0.3">
      <c r="A13" s="1"/>
      <c r="B13" s="2"/>
    </row>
    <row r="14" spans="1:16" x14ac:dyDescent="0.3">
      <c r="A14" s="1"/>
      <c r="B14" s="2"/>
    </row>
    <row r="15" spans="1:16" x14ac:dyDescent="0.3">
      <c r="A15" s="1"/>
      <c r="B15" s="2"/>
    </row>
    <row r="16" spans="1:16" x14ac:dyDescent="0.3">
      <c r="A16" s="1"/>
      <c r="B16" s="2"/>
    </row>
    <row r="17" spans="1:2" x14ac:dyDescent="0.3">
      <c r="A17" s="1"/>
      <c r="B17" s="2"/>
    </row>
    <row r="18" spans="1:2" x14ac:dyDescent="0.3">
      <c r="A18" s="1"/>
      <c r="B18" s="2"/>
    </row>
    <row r="23" spans="1:2" x14ac:dyDescent="0.3">
      <c r="A23" s="2"/>
    </row>
    <row r="24" spans="1:2" x14ac:dyDescent="0.3">
      <c r="A24" s="3"/>
    </row>
    <row r="25" spans="1:2" x14ac:dyDescent="0.3">
      <c r="A25" s="3"/>
    </row>
    <row r="26" spans="1:2" x14ac:dyDescent="0.3">
      <c r="A26" s="3"/>
    </row>
    <row r="27" spans="1:2" x14ac:dyDescent="0.3">
      <c r="A27" s="3"/>
    </row>
    <row r="28" spans="1:2" x14ac:dyDescent="0.3">
      <c r="A28" s="3"/>
    </row>
    <row r="29" spans="1:2" x14ac:dyDescent="0.3">
      <c r="A29" s="3"/>
    </row>
    <row r="30" spans="1:2" x14ac:dyDescent="0.3">
      <c r="A30" s="3"/>
    </row>
    <row r="31" spans="1:2" x14ac:dyDescent="0.3">
      <c r="A31" s="3"/>
    </row>
    <row r="32" spans="1:2" x14ac:dyDescent="0.3">
      <c r="A32" s="3"/>
    </row>
    <row r="33" spans="1:1" x14ac:dyDescent="0.3">
      <c r="A33" s="3"/>
    </row>
    <row r="34" spans="1:1" x14ac:dyDescent="0.3">
      <c r="A34" s="3"/>
    </row>
    <row r="35" spans="1:1" x14ac:dyDescent="0.3">
      <c r="A35" s="3"/>
    </row>
    <row r="36" spans="1:1" x14ac:dyDescent="0.3">
      <c r="A36" s="3"/>
    </row>
    <row r="37" spans="1:1" x14ac:dyDescent="0.3">
      <c r="A37"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1C36978-798B-41FB-8D34-4E9472B865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EARNINGS ANALYSIS</vt:lpstr>
      <vt:lpstr>Growth Scenarios</vt:lpstr>
      <vt:lpstr>Breakeven_point</vt:lpstr>
      <vt:lpstr>Company_name</vt:lpstr>
      <vt:lpstr>Fixed_costs</vt:lpstr>
      <vt:lpstr>Gross_margin</vt:lpstr>
      <vt:lpstr>Net_profit</vt:lpstr>
      <vt:lpstr>'EARNINGS ANALYSIS'!Print_Area</vt:lpstr>
      <vt:lpstr>Sales_price_unit</vt:lpstr>
      <vt:lpstr>Sales_volume_units</vt:lpstr>
      <vt:lpstr>TemplatePrintArea</vt:lpstr>
      <vt:lpstr>Total_fixed</vt:lpstr>
      <vt:lpstr>Total_Sales</vt:lpstr>
      <vt:lpstr>Total_variable</vt:lpstr>
      <vt:lpstr>Variable_cost_unit</vt:lpstr>
      <vt:lpstr>Variable_costs_unit</vt:lpstr>
      <vt:lpstr>Variable_Unit_Cost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modified xsi:type="dcterms:W3CDTF">2018-04-11T22:28:23Z</dcterms:modified>
  <cp:version/>
</cp:coreProperties>
</file>